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©Heb MERMA ✔\©Heb MERMA\Shareable Files\files to share\"/>
    </mc:Choice>
  </mc:AlternateContent>
  <xr:revisionPtr revIDLastSave="0" documentId="13_ncr:1_{3F8B56F4-4078-4CC1-81B1-86E13011EE40}" xr6:coauthVersionLast="45" xr6:coauthVersionMax="45" xr10:uidLastSave="{00000000-0000-0000-0000-000000000000}"/>
  <bookViews>
    <workbookView xWindow="-120" yWindow="-120" windowWidth="20730" windowHeight="11760" xr2:uid="{1293B675-7405-45D4-BED0-685B1AA29481}"/>
  </bookViews>
  <sheets>
    <sheet name="ACABADO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0" i="1" l="1"/>
  <c r="P30" i="1"/>
  <c r="O30" i="1"/>
  <c r="M30" i="1"/>
  <c r="L30" i="1"/>
  <c r="J30" i="1"/>
  <c r="J29" i="1"/>
  <c r="J27" i="1"/>
  <c r="J28" i="1"/>
  <c r="R22" i="1"/>
  <c r="Q8" i="1"/>
  <c r="J8" i="1"/>
  <c r="P4" i="1"/>
  <c r="Q4" i="1" s="1"/>
  <c r="S16" i="1" l="1"/>
  <c r="R16" i="1" s="1"/>
  <c r="S17" i="1"/>
  <c r="R17" i="1" s="1"/>
  <c r="R15" i="1" s="1"/>
  <c r="S24" i="1" s="1"/>
  <c r="S25" i="1" s="1"/>
  <c r="S23" i="1" s="1"/>
  <c r="L28" i="1" s="1"/>
  <c r="J24" i="1"/>
  <c r="L29" i="1"/>
  <c r="G4" i="1"/>
  <c r="N22" i="1"/>
  <c r="I16" i="1"/>
  <c r="K22" i="1"/>
  <c r="J150" i="1"/>
  <c r="G152" i="1"/>
  <c r="G150" i="1"/>
  <c r="J152" i="1"/>
  <c r="C21" i="1"/>
  <c r="C18" i="1"/>
  <c r="O28" i="1" l="1"/>
  <c r="P28" i="1" s="1"/>
  <c r="M28" i="1"/>
  <c r="N28" i="1" s="1"/>
  <c r="O26" i="1"/>
  <c r="M26" i="1"/>
  <c r="J26" i="1"/>
  <c r="P26" i="1"/>
  <c r="N26" i="1"/>
  <c r="L26" i="1"/>
  <c r="O29" i="1"/>
  <c r="P29" i="1" s="1"/>
  <c r="M29" i="1"/>
  <c r="N29" i="1" s="1"/>
  <c r="H157" i="1"/>
  <c r="M176" i="1" l="1"/>
  <c r="M184" i="1" s="1"/>
  <c r="O184" i="1" s="1"/>
  <c r="M174" i="1"/>
  <c r="M182" i="1" s="1"/>
  <c r="M172" i="1"/>
  <c r="N172" i="1" s="1"/>
  <c r="M170" i="1"/>
  <c r="M178" i="1" s="1"/>
  <c r="N178" i="1" s="1"/>
  <c r="N182" i="1" l="1"/>
  <c r="O182" i="1"/>
  <c r="N174" i="1"/>
  <c r="O176" i="1"/>
  <c r="M180" i="1"/>
  <c r="N180" i="1" s="1"/>
  <c r="O174" i="1"/>
  <c r="B18" i="1"/>
  <c r="B15" i="1"/>
  <c r="C15" i="1"/>
  <c r="C17" i="1" s="1"/>
  <c r="C12" i="1"/>
  <c r="C20" i="1" s="1"/>
  <c r="B12" i="1"/>
  <c r="B20" i="1" s="1"/>
  <c r="G153" i="1" l="1"/>
  <c r="G154" i="1" s="1"/>
  <c r="J153" i="1"/>
  <c r="O180" i="1"/>
  <c r="B21" i="1"/>
  <c r="B17" i="1"/>
  <c r="F11" i="1" l="1"/>
  <c r="F12" i="1" s="1"/>
  <c r="E11" i="1"/>
  <c r="E12" i="1" s="1"/>
  <c r="I157" i="1"/>
  <c r="F303" i="1"/>
  <c r="H304" i="1" s="1"/>
  <c r="F297" i="1"/>
  <c r="H298" i="1" s="1"/>
  <c r="F291" i="1"/>
  <c r="H292" i="1" s="1"/>
  <c r="F285" i="1"/>
  <c r="H286" i="1" s="1"/>
  <c r="F279" i="1"/>
  <c r="H280" i="1" s="1"/>
  <c r="F273" i="1"/>
  <c r="H274" i="1" s="1"/>
  <c r="F267" i="1"/>
  <c r="H268" i="1" s="1"/>
  <c r="F261" i="1"/>
  <c r="H262" i="1" s="1"/>
  <c r="F255" i="1"/>
  <c r="H256" i="1" s="1"/>
  <c r="F249" i="1"/>
  <c r="H250" i="1" s="1"/>
  <c r="F243" i="1"/>
  <c r="H244" i="1" s="1"/>
  <c r="F237" i="1"/>
  <c r="H238" i="1" s="1"/>
  <c r="F231" i="1"/>
  <c r="H232" i="1" s="1"/>
  <c r="F225" i="1"/>
  <c r="H226" i="1" s="1"/>
  <c r="F219" i="1"/>
  <c r="H220" i="1" s="1"/>
  <c r="F213" i="1"/>
  <c r="H214" i="1" s="1"/>
  <c r="F207" i="1"/>
  <c r="H208" i="1" s="1"/>
  <c r="F201" i="1"/>
  <c r="H202" i="1" s="1"/>
  <c r="F195" i="1"/>
  <c r="H196" i="1" s="1"/>
  <c r="F189" i="1"/>
  <c r="H190" i="1" s="1"/>
  <c r="F183" i="1"/>
  <c r="H184" i="1" s="1"/>
  <c r="F177" i="1"/>
  <c r="H178" i="1" s="1"/>
  <c r="F162" i="1"/>
  <c r="H163" i="1" s="1"/>
  <c r="F168" i="1"/>
  <c r="H169" i="1" s="1"/>
  <c r="F306" i="1"/>
  <c r="H307" i="1" s="1"/>
  <c r="F300" i="1"/>
  <c r="H301" i="1" s="1"/>
  <c r="F294" i="1"/>
  <c r="H295" i="1" s="1"/>
  <c r="F288" i="1"/>
  <c r="H289" i="1" s="1"/>
  <c r="F282" i="1"/>
  <c r="H283" i="1" s="1"/>
  <c r="F276" i="1"/>
  <c r="H277" i="1" s="1"/>
  <c r="F270" i="1"/>
  <c r="H271" i="1" s="1"/>
  <c r="F264" i="1"/>
  <c r="H265" i="1" s="1"/>
  <c r="F258" i="1"/>
  <c r="H259" i="1" s="1"/>
  <c r="F252" i="1"/>
  <c r="H253" i="1" s="1"/>
  <c r="F240" i="1"/>
  <c r="H241" i="1" s="1"/>
  <c r="F228" i="1"/>
  <c r="H229" i="1" s="1"/>
  <c r="F216" i="1"/>
  <c r="H217" i="1" s="1"/>
  <c r="F204" i="1"/>
  <c r="H205" i="1" s="1"/>
  <c r="F192" i="1"/>
  <c r="H193" i="1" s="1"/>
  <c r="F180" i="1"/>
  <c r="H181" i="1" s="1"/>
  <c r="F165" i="1"/>
  <c r="H166" i="1" s="1"/>
  <c r="F159" i="1"/>
  <c r="H160" i="1" s="1"/>
  <c r="F246" i="1"/>
  <c r="H247" i="1" s="1"/>
  <c r="F234" i="1"/>
  <c r="H235" i="1" s="1"/>
  <c r="F222" i="1"/>
  <c r="H223" i="1" s="1"/>
  <c r="F210" i="1"/>
  <c r="H211" i="1" s="1"/>
  <c r="F198" i="1"/>
  <c r="H199" i="1" s="1"/>
  <c r="F186" i="1"/>
  <c r="H187" i="1" s="1"/>
  <c r="F174" i="1"/>
  <c r="H175" i="1" s="1"/>
  <c r="F171" i="1"/>
  <c r="H172" i="1" s="1"/>
  <c r="J154" i="1"/>
  <c r="F13" i="1"/>
  <c r="K306" i="1"/>
  <c r="I307" i="1" s="1"/>
  <c r="K300" i="1"/>
  <c r="I301" i="1" s="1"/>
  <c r="K294" i="1"/>
  <c r="I295" i="1" s="1"/>
  <c r="K288" i="1"/>
  <c r="I289" i="1" s="1"/>
  <c r="K282" i="1"/>
  <c r="I283" i="1" s="1"/>
  <c r="K276" i="1"/>
  <c r="I277" i="1" s="1"/>
  <c r="K270" i="1"/>
  <c r="I271" i="1" s="1"/>
  <c r="K264" i="1"/>
  <c r="I265" i="1" s="1"/>
  <c r="K258" i="1"/>
  <c r="I259" i="1" s="1"/>
  <c r="K252" i="1"/>
  <c r="I253" i="1" s="1"/>
  <c r="K246" i="1"/>
  <c r="I247" i="1" s="1"/>
  <c r="K240" i="1"/>
  <c r="I241" i="1" s="1"/>
  <c r="K234" i="1"/>
  <c r="I235" i="1" s="1"/>
  <c r="K228" i="1"/>
  <c r="I229" i="1" s="1"/>
  <c r="K222" i="1"/>
  <c r="I223" i="1" s="1"/>
  <c r="K216" i="1"/>
  <c r="I217" i="1" s="1"/>
  <c r="K210" i="1"/>
  <c r="I211" i="1" s="1"/>
  <c r="K204" i="1"/>
  <c r="I205" i="1" s="1"/>
  <c r="K198" i="1"/>
  <c r="I199" i="1" s="1"/>
  <c r="K192" i="1"/>
  <c r="I193" i="1" s="1"/>
  <c r="K186" i="1"/>
  <c r="I187" i="1" s="1"/>
  <c r="K180" i="1"/>
  <c r="I181" i="1" s="1"/>
  <c r="K156" i="1"/>
  <c r="K303" i="1"/>
  <c r="I304" i="1" s="1"/>
  <c r="K297" i="1"/>
  <c r="I298" i="1" s="1"/>
  <c r="K291" i="1"/>
  <c r="I292" i="1" s="1"/>
  <c r="K285" i="1"/>
  <c r="I286" i="1" s="1"/>
  <c r="K279" i="1"/>
  <c r="I280" i="1" s="1"/>
  <c r="K273" i="1"/>
  <c r="I274" i="1" s="1"/>
  <c r="K267" i="1"/>
  <c r="I268" i="1" s="1"/>
  <c r="K261" i="1"/>
  <c r="I262" i="1" s="1"/>
  <c r="K255" i="1"/>
  <c r="I256" i="1" s="1"/>
  <c r="K249" i="1"/>
  <c r="I250" i="1" s="1"/>
  <c r="K243" i="1"/>
  <c r="I244" i="1" s="1"/>
  <c r="K237" i="1"/>
  <c r="I238" i="1" s="1"/>
  <c r="K231" i="1"/>
  <c r="I232" i="1" s="1"/>
  <c r="K225" i="1"/>
  <c r="I226" i="1" s="1"/>
  <c r="K219" i="1"/>
  <c r="I220" i="1" s="1"/>
  <c r="K213" i="1"/>
  <c r="I214" i="1" s="1"/>
  <c r="K207" i="1"/>
  <c r="I208" i="1" s="1"/>
  <c r="K201" i="1"/>
  <c r="I202" i="1" s="1"/>
  <c r="K195" i="1"/>
  <c r="I196" i="1" s="1"/>
  <c r="K189" i="1"/>
  <c r="I190" i="1" s="1"/>
  <c r="K183" i="1"/>
  <c r="I184" i="1" s="1"/>
  <c r="K177" i="1"/>
  <c r="I178" i="1" s="1"/>
  <c r="K168" i="1"/>
  <c r="I169" i="1" s="1"/>
  <c r="K174" i="1"/>
  <c r="I175" i="1" s="1"/>
  <c r="K162" i="1"/>
  <c r="I163" i="1" s="1"/>
  <c r="K165" i="1"/>
  <c r="I166" i="1" s="1"/>
  <c r="K159" i="1"/>
  <c r="I160" i="1" s="1"/>
  <c r="K171" i="1"/>
  <c r="I172" i="1" s="1"/>
  <c r="J192" i="1"/>
  <c r="J193" i="1" s="1"/>
  <c r="F14" i="1" l="1"/>
  <c r="J255" i="1"/>
  <c r="J256" i="1" s="1"/>
  <c r="G231" i="1"/>
  <c r="G232" i="1" s="1"/>
  <c r="E13" i="1"/>
  <c r="G291" i="1"/>
  <c r="G292" i="1" s="1"/>
  <c r="E14" i="1"/>
  <c r="G261" i="1"/>
  <c r="G262" i="1" s="1"/>
  <c r="G285" i="1"/>
  <c r="G286" i="1" s="1"/>
  <c r="G288" i="1"/>
  <c r="G289" i="1" s="1"/>
  <c r="G183" i="1"/>
  <c r="G184" i="1" s="1"/>
  <c r="G282" i="1"/>
  <c r="G283" i="1" s="1"/>
  <c r="G246" i="1"/>
  <c r="G247" i="1" s="1"/>
  <c r="G198" i="1"/>
  <c r="G199" i="1" s="1"/>
  <c r="J228" i="1"/>
  <c r="J229" i="1" s="1"/>
  <c r="G294" i="1"/>
  <c r="G295" i="1" s="1"/>
  <c r="G216" i="1"/>
  <c r="G217" i="1" s="1"/>
  <c r="G258" i="1"/>
  <c r="G259" i="1" s="1"/>
  <c r="G225" i="1"/>
  <c r="G226" i="1" s="1"/>
  <c r="G201" i="1"/>
  <c r="G202" i="1" s="1"/>
  <c r="G237" i="1"/>
  <c r="G238" i="1" s="1"/>
  <c r="J207" i="1"/>
  <c r="J208" i="1" s="1"/>
  <c r="J303" i="1"/>
  <c r="J304" i="1" s="1"/>
  <c r="J288" i="1"/>
  <c r="J289" i="1" s="1"/>
  <c r="G210" i="1"/>
  <c r="G211" i="1" s="1"/>
  <c r="G180" i="1"/>
  <c r="G181" i="1" s="1"/>
  <c r="G207" i="1"/>
  <c r="G208" i="1" s="1"/>
  <c r="G255" i="1"/>
  <c r="G256" i="1" s="1"/>
  <c r="G276" i="1"/>
  <c r="G277" i="1" s="1"/>
  <c r="J210" i="1"/>
  <c r="J211" i="1" s="1"/>
  <c r="J198" i="1"/>
  <c r="J199" i="1" s="1"/>
  <c r="G159" i="1"/>
  <c r="G160" i="1" s="1"/>
  <c r="G186" i="1"/>
  <c r="G187" i="1" s="1"/>
  <c r="G204" i="1"/>
  <c r="G205" i="1" s="1"/>
  <c r="G264" i="1"/>
  <c r="G265" i="1" s="1"/>
  <c r="G228" i="1"/>
  <c r="G229" i="1" s="1"/>
  <c r="G195" i="1"/>
  <c r="G196" i="1" s="1"/>
  <c r="G267" i="1"/>
  <c r="G268" i="1" s="1"/>
  <c r="G243" i="1"/>
  <c r="G244" i="1" s="1"/>
  <c r="G300" i="1"/>
  <c r="G301" i="1" s="1"/>
  <c r="G234" i="1"/>
  <c r="G235" i="1" s="1"/>
  <c r="G252" i="1"/>
  <c r="G253" i="1" s="1"/>
  <c r="G279" i="1"/>
  <c r="G280" i="1" s="1"/>
  <c r="G303" i="1"/>
  <c r="G304" i="1" s="1"/>
  <c r="G219" i="1"/>
  <c r="G220" i="1" s="1"/>
  <c r="G174" i="1"/>
  <c r="G175" i="1" s="1"/>
  <c r="G165" i="1"/>
  <c r="G166" i="1" s="1"/>
  <c r="G168" i="1"/>
  <c r="G169" i="1" s="1"/>
  <c r="G177" i="1"/>
  <c r="G178" i="1" s="1"/>
  <c r="G213" i="1"/>
  <c r="G214" i="1" s="1"/>
  <c r="G240" i="1"/>
  <c r="G241" i="1" s="1"/>
  <c r="G273" i="1"/>
  <c r="G274" i="1" s="1"/>
  <c r="G297" i="1"/>
  <c r="G298" i="1" s="1"/>
  <c r="G192" i="1"/>
  <c r="G193" i="1" s="1"/>
  <c r="G306" i="1"/>
  <c r="G307" i="1" s="1"/>
  <c r="G222" i="1"/>
  <c r="G223" i="1" s="1"/>
  <c r="G189" i="1"/>
  <c r="G190" i="1" s="1"/>
  <c r="G249" i="1"/>
  <c r="G250" i="1" s="1"/>
  <c r="G270" i="1"/>
  <c r="G271" i="1" s="1"/>
  <c r="G171" i="1"/>
  <c r="G172" i="1" s="1"/>
  <c r="G162" i="1"/>
  <c r="G163" i="1" s="1"/>
  <c r="J261" i="1"/>
  <c r="J262" i="1" s="1"/>
  <c r="J162" i="1"/>
  <c r="J163" i="1" s="1"/>
  <c r="J306" i="1"/>
  <c r="J307" i="1" s="1"/>
  <c r="J213" i="1"/>
  <c r="J214" i="1" s="1"/>
  <c r="J294" i="1"/>
  <c r="J295" i="1" s="1"/>
  <c r="J258" i="1"/>
  <c r="J259" i="1" s="1"/>
  <c r="J189" i="1"/>
  <c r="J190" i="1" s="1"/>
  <c r="J237" i="1"/>
  <c r="J238" i="1" s="1"/>
  <c r="J285" i="1"/>
  <c r="J286" i="1" s="1"/>
  <c r="J246" i="1"/>
  <c r="J247" i="1" s="1"/>
  <c r="J159" i="1"/>
  <c r="J160" i="1" s="1"/>
  <c r="J282" i="1"/>
  <c r="J283" i="1" s="1"/>
  <c r="J234" i="1"/>
  <c r="J235" i="1" s="1"/>
  <c r="J186" i="1"/>
  <c r="J187" i="1" s="1"/>
  <c r="J201" i="1"/>
  <c r="J202" i="1" s="1"/>
  <c r="J225" i="1"/>
  <c r="J226" i="1" s="1"/>
  <c r="J249" i="1"/>
  <c r="J250" i="1" s="1"/>
  <c r="J273" i="1"/>
  <c r="J274" i="1" s="1"/>
  <c r="J297" i="1"/>
  <c r="J298" i="1" s="1"/>
  <c r="J270" i="1"/>
  <c r="J271" i="1" s="1"/>
  <c r="J222" i="1"/>
  <c r="J223" i="1" s="1"/>
  <c r="J183" i="1"/>
  <c r="J184" i="1" s="1"/>
  <c r="J231" i="1"/>
  <c r="J232" i="1" s="1"/>
  <c r="J279" i="1"/>
  <c r="J280" i="1" s="1"/>
  <c r="J276" i="1"/>
  <c r="J277" i="1" s="1"/>
  <c r="J180" i="1"/>
  <c r="J181" i="1" s="1"/>
  <c r="J240" i="1"/>
  <c r="J241" i="1" s="1"/>
  <c r="J174" i="1"/>
  <c r="J175" i="1" s="1"/>
  <c r="J195" i="1"/>
  <c r="J196" i="1" s="1"/>
  <c r="J219" i="1"/>
  <c r="J220" i="1" s="1"/>
  <c r="J243" i="1"/>
  <c r="J244" i="1" s="1"/>
  <c r="J267" i="1"/>
  <c r="J268" i="1" s="1"/>
  <c r="J291" i="1"/>
  <c r="J292" i="1" s="1"/>
  <c r="J300" i="1"/>
  <c r="J301" i="1" s="1"/>
  <c r="J252" i="1"/>
  <c r="J253" i="1" s="1"/>
  <c r="J204" i="1"/>
  <c r="J205" i="1" s="1"/>
  <c r="J177" i="1"/>
  <c r="J178" i="1" s="1"/>
  <c r="J264" i="1"/>
  <c r="J265" i="1" s="1"/>
  <c r="J216" i="1"/>
  <c r="J217" i="1" s="1"/>
  <c r="J165" i="1"/>
  <c r="J166" i="1" s="1"/>
  <c r="J168" i="1"/>
  <c r="J169" i="1" s="1"/>
  <c r="J171" i="1"/>
  <c r="J172" i="1" s="1"/>
  <c r="K15" i="1" l="1"/>
  <c r="K16" i="1" s="1"/>
  <c r="K23" i="1" s="1"/>
  <c r="O23" i="1" s="1"/>
  <c r="L27" i="1" s="1"/>
  <c r="M27" i="1" l="1"/>
  <c r="N27" i="1" s="1"/>
  <c r="O27" i="1"/>
  <c r="P27" i="1" s="1"/>
  <c r="O31" i="1" s="1"/>
</calcChain>
</file>

<file path=xl/sharedStrings.xml><?xml version="1.0" encoding="utf-8"?>
<sst xmlns="http://schemas.openxmlformats.org/spreadsheetml/2006/main" count="40" uniqueCount="33">
  <si>
    <t>cm</t>
  </si>
  <si>
    <t>m</t>
  </si>
  <si>
    <t>A-B</t>
  </si>
  <si>
    <t>B-C</t>
  </si>
  <si>
    <t>C-D</t>
  </si>
  <si>
    <t>A-D</t>
  </si>
  <si>
    <t>X</t>
  </si>
  <si>
    <t>Y</t>
  </si>
  <si>
    <t>hebmerma.com</t>
  </si>
  <si>
    <t>material</t>
  </si>
  <si>
    <t>cant/c</t>
  </si>
  <si>
    <t>und</t>
  </si>
  <si>
    <t>% desp.</t>
  </si>
  <si>
    <t>porcelanato</t>
  </si>
  <si>
    <t>c/caja</t>
  </si>
  <si>
    <t>c/unid</t>
  </si>
  <si>
    <t>largo</t>
  </si>
  <si>
    <t>ancho</t>
  </si>
  <si>
    <t>peso/bls</t>
  </si>
  <si>
    <t>kg</t>
  </si>
  <si>
    <t>dentada</t>
  </si>
  <si>
    <t>encolado</t>
  </si>
  <si>
    <t>costo</t>
  </si>
  <si>
    <t>interior</t>
  </si>
  <si>
    <t>Tipo de pegamento</t>
  </si>
  <si>
    <t>simple</t>
  </si>
  <si>
    <t>nivelado</t>
  </si>
  <si>
    <t>Área</t>
  </si>
  <si>
    <t>fragua</t>
  </si>
  <si>
    <t>crucetas</t>
  </si>
  <si>
    <t>cant.</t>
  </si>
  <si>
    <t>bls</t>
  </si>
  <si>
    <t>piso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</si>
</sst>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S/&quot;\ * #,##0.00_-;\-&quot;S/&quot;\ * #,##0.00_-;_-&quot;S/&quot;\ * &quot;-&quot;??_-;_-@_-"/>
    <numFmt numFmtId="164" formatCode="@* \:"/>
    <numFmt numFmtId="165" formatCode="General\ &quot;m&quot;"/>
    <numFmt numFmtId="166" formatCode="General\ &quot;cm&quot;"/>
    <numFmt numFmtId="167" formatCode="General\ &quot;unidades x caja&quot;"/>
    <numFmt numFmtId="171" formatCode="General\ &quot;m²&quot;"/>
    <numFmt numFmtId="172" formatCode="&quot;bolsa x&quot;\ General&quot;kg&quot;"/>
    <numFmt numFmtId="173" formatCode="&quot;x&quot;\ General&quot;unids&quot;"/>
    <numFmt numFmtId="174" formatCode="&quot;x&quot;\ General&quot;kg&quot;"/>
  </numFmts>
  <fonts count="1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2"/>
      <name val="Times New Roman"/>
      <family val="1"/>
    </font>
    <font>
      <sz val="11"/>
      <color theme="0"/>
      <name val="Times New Roman"/>
      <family val="1"/>
    </font>
    <font>
      <b/>
      <sz val="11"/>
      <color rgb="FFC00000"/>
      <name val="Times New Roman"/>
      <family val="1"/>
    </font>
    <font>
      <sz val="11"/>
      <color rgb="FF0000CC"/>
      <name val="Times New Roman"/>
      <family val="1"/>
    </font>
    <font>
      <sz val="10"/>
      <color rgb="FF002060"/>
      <name val="Times New Roman"/>
      <family val="1"/>
    </font>
    <font>
      <b/>
      <sz val="9"/>
      <color theme="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0"/>
      <color rgb="FF0000CC"/>
      <name val="Times New Roman"/>
      <family val="1"/>
    </font>
    <font>
      <b/>
      <sz val="11"/>
      <color rgb="FF003399"/>
      <name val="Calibri"/>
      <family val="2"/>
      <scheme val="minor"/>
    </font>
    <font>
      <sz val="9"/>
      <color theme="2"/>
      <name val="Calibri"/>
      <family val="2"/>
      <scheme val="minor"/>
    </font>
    <font>
      <sz val="11"/>
      <color theme="2"/>
      <name val="Calibri"/>
      <family val="2"/>
      <scheme val="minor"/>
    </font>
    <font>
      <sz val="10"/>
      <color theme="1"/>
      <name val="Arial Narrow"/>
      <family val="2"/>
    </font>
    <font>
      <b/>
      <sz val="11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color theme="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64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2">
    <xf numFmtId="0" fontId="0" fillId="0" borderId="0" xfId="0"/>
    <xf numFmtId="0" fontId="2" fillId="4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0" fontId="6" fillId="3" borderId="0" xfId="0" applyFont="1" applyFill="1" applyAlignment="1" applyProtection="1">
      <alignment vertical="center"/>
      <protection hidden="1"/>
    </xf>
    <xf numFmtId="0" fontId="3" fillId="3" borderId="0" xfId="0" applyFont="1" applyFill="1" applyBorder="1" applyProtection="1">
      <protection hidden="1"/>
    </xf>
    <xf numFmtId="164" fontId="4" fillId="3" borderId="0" xfId="0" applyNumberFormat="1" applyFont="1" applyFill="1" applyAlignment="1" applyProtection="1">
      <alignment vertical="center" shrinkToFit="1"/>
      <protection hidden="1"/>
    </xf>
    <xf numFmtId="0" fontId="5" fillId="5" borderId="1" xfId="0" applyFont="1" applyFill="1" applyBorder="1" applyAlignment="1" applyProtection="1">
      <alignment horizontal="center" shrinkToFit="1"/>
      <protection locked="0"/>
    </xf>
    <xf numFmtId="164" fontId="4" fillId="3" borderId="0" xfId="0" applyNumberFormat="1" applyFont="1" applyFill="1" applyAlignment="1" applyProtection="1">
      <alignment horizontal="left" vertical="center" indent="1" shrinkToFit="1"/>
      <protection hidden="1"/>
    </xf>
    <xf numFmtId="0" fontId="5" fillId="5" borderId="1" xfId="0" applyNumberFormat="1" applyFont="1" applyFill="1" applyBorder="1" applyAlignment="1" applyProtection="1">
      <alignment horizontal="center" shrinkToFit="1"/>
      <protection locked="0"/>
    </xf>
    <xf numFmtId="164" fontId="8" fillId="3" borderId="0" xfId="0" applyNumberFormat="1" applyFont="1" applyFill="1" applyAlignment="1" applyProtection="1">
      <alignment horizontal="left" vertical="center" indent="2" shrinkToFit="1"/>
      <protection hidden="1"/>
    </xf>
    <xf numFmtId="0" fontId="1" fillId="3" borderId="0" xfId="0" applyFont="1" applyFill="1" applyAlignment="1" applyProtection="1">
      <alignment horizontal="left" indent="2"/>
      <protection hidden="1"/>
    </xf>
    <xf numFmtId="0" fontId="3" fillId="3" borderId="2" xfId="0" applyFont="1" applyFill="1" applyBorder="1" applyProtection="1">
      <protection hidden="1"/>
    </xf>
    <xf numFmtId="164" fontId="8" fillId="3" borderId="0" xfId="0" applyNumberFormat="1" applyFont="1" applyFill="1" applyAlignment="1" applyProtection="1">
      <alignment vertical="center" shrinkToFit="1"/>
      <protection hidden="1"/>
    </xf>
    <xf numFmtId="9" fontId="5" fillId="5" borderId="1" xfId="1" applyFont="1" applyFill="1" applyBorder="1" applyAlignment="1" applyProtection="1">
      <alignment horizontal="center" shrinkToFit="1"/>
      <protection locked="0"/>
    </xf>
    <xf numFmtId="0" fontId="0" fillId="3" borderId="0" xfId="0" applyFill="1" applyProtection="1">
      <protection hidden="1"/>
    </xf>
    <xf numFmtId="0" fontId="0" fillId="3" borderId="0" xfId="0" applyFill="1" applyAlignment="1" applyProtection="1">
      <alignment horizontal="center"/>
      <protection hidden="1"/>
    </xf>
    <xf numFmtId="0" fontId="0" fillId="3" borderId="0" xfId="0" applyNumberFormat="1" applyFill="1" applyProtection="1">
      <protection hidden="1"/>
    </xf>
    <xf numFmtId="0" fontId="5" fillId="3" borderId="1" xfId="0" applyNumberFormat="1" applyFont="1" applyFill="1" applyBorder="1" applyAlignment="1" applyProtection="1">
      <alignment horizontal="center" shrinkToFit="1"/>
      <protection hidden="1"/>
    </xf>
    <xf numFmtId="0" fontId="0" fillId="3" borderId="2" xfId="0" applyFill="1" applyBorder="1" applyProtection="1">
      <protection hidden="1"/>
    </xf>
    <xf numFmtId="0" fontId="0" fillId="0" borderId="0" xfId="0" applyProtection="1"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1" fillId="0" borderId="0" xfId="0" applyFont="1" applyFill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1" fillId="0" borderId="0" xfId="0" applyNumberFormat="1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166" fontId="0" fillId="0" borderId="0" xfId="0" applyNumberFormat="1" applyAlignment="1" applyProtection="1">
      <alignment horizontal="center" vertical="top"/>
      <protection hidden="1"/>
    </xf>
    <xf numFmtId="0" fontId="1" fillId="6" borderId="0" xfId="0" applyFont="1" applyFill="1" applyProtection="1">
      <protection hidden="1"/>
    </xf>
    <xf numFmtId="0" fontId="1" fillId="6" borderId="0" xfId="0" applyFont="1" applyFill="1" applyAlignment="1" applyProtection="1">
      <alignment horizontal="center"/>
      <protection hidden="1"/>
    </xf>
    <xf numFmtId="0" fontId="1" fillId="6" borderId="0" xfId="0" applyNumberFormat="1" applyFont="1" applyFill="1" applyAlignment="1" applyProtection="1">
      <alignment horizontal="center"/>
      <protection hidden="1"/>
    </xf>
    <xf numFmtId="165" fontId="1" fillId="6" borderId="0" xfId="0" applyNumberFormat="1" applyFont="1" applyFill="1" applyAlignment="1" applyProtection="1">
      <alignment horizontal="center"/>
      <protection hidden="1"/>
    </xf>
    <xf numFmtId="0" fontId="7" fillId="4" borderId="2" xfId="0" applyFont="1" applyFill="1" applyBorder="1" applyAlignment="1" applyProtection="1">
      <alignment horizontal="center"/>
      <protection hidden="1"/>
    </xf>
    <xf numFmtId="167" fontId="0" fillId="0" borderId="0" xfId="0" applyNumberFormat="1" applyAlignment="1" applyProtection="1">
      <alignment horizontal="center" shrinkToFit="1"/>
      <protection hidden="1"/>
    </xf>
    <xf numFmtId="44" fontId="11" fillId="5" borderId="1" xfId="2" applyFont="1" applyFill="1" applyBorder="1" applyAlignment="1" applyProtection="1">
      <alignment horizontal="left" shrinkToFit="1"/>
      <protection locked="0"/>
    </xf>
    <xf numFmtId="166" fontId="0" fillId="0" borderId="0" xfId="0" applyNumberFormat="1" applyBorder="1" applyAlignment="1" applyProtection="1">
      <alignment horizontal="center"/>
      <protection hidden="1"/>
    </xf>
    <xf numFmtId="0" fontId="10" fillId="0" borderId="0" xfId="0" applyFont="1" applyAlignment="1" applyProtection="1">
      <alignment horizontal="left" indent="1"/>
      <protection hidden="1"/>
    </xf>
    <xf numFmtId="0" fontId="5" fillId="5" borderId="1" xfId="2" applyNumberFormat="1" applyFont="1" applyFill="1" applyBorder="1" applyAlignment="1" applyProtection="1">
      <alignment horizontal="center" shrinkToFit="1"/>
      <protection locked="0"/>
    </xf>
    <xf numFmtId="0" fontId="0" fillId="3" borderId="0" xfId="0" applyFill="1" applyAlignment="1" applyProtection="1">
      <protection hidden="1"/>
    </xf>
    <xf numFmtId="164" fontId="12" fillId="3" borderId="0" xfId="0" applyNumberFormat="1" applyFont="1" applyFill="1" applyAlignment="1" applyProtection="1">
      <alignment horizontal="left" shrinkToFit="1"/>
      <protection hidden="1"/>
    </xf>
    <xf numFmtId="164" fontId="12" fillId="3" borderId="6" xfId="0" applyNumberFormat="1" applyFont="1" applyFill="1" applyBorder="1" applyAlignment="1" applyProtection="1">
      <alignment horizontal="left" shrinkToFit="1"/>
      <protection hidden="1"/>
    </xf>
    <xf numFmtId="44" fontId="5" fillId="5" borderId="4" xfId="2" applyFont="1" applyFill="1" applyBorder="1" applyAlignment="1" applyProtection="1">
      <alignment horizontal="center" shrinkToFit="1"/>
      <protection locked="0"/>
    </xf>
    <xf numFmtId="44" fontId="5" fillId="5" borderId="5" xfId="2" applyFont="1" applyFill="1" applyBorder="1" applyAlignment="1" applyProtection="1">
      <alignment horizontal="center" shrinkToFit="1"/>
      <protection locked="0"/>
    </xf>
    <xf numFmtId="172" fontId="0" fillId="0" borderId="0" xfId="0" applyNumberFormat="1" applyFont="1" applyAlignment="1" applyProtection="1">
      <alignment horizontal="center" shrinkToFit="1"/>
      <protection hidden="1"/>
    </xf>
    <xf numFmtId="164" fontId="12" fillId="3" borderId="0" xfId="0" applyNumberFormat="1" applyFont="1" applyFill="1" applyBorder="1" applyAlignment="1" applyProtection="1">
      <alignment shrinkToFit="1"/>
      <protection hidden="1"/>
    </xf>
    <xf numFmtId="0" fontId="13" fillId="3" borderId="0" xfId="0" applyFont="1" applyFill="1" applyAlignment="1" applyProtection="1">
      <alignment horizontal="left"/>
      <protection hidden="1"/>
    </xf>
    <xf numFmtId="0" fontId="14" fillId="3" borderId="0" xfId="0" applyFont="1" applyFill="1" applyProtection="1">
      <protection hidden="1"/>
    </xf>
    <xf numFmtId="44" fontId="10" fillId="2" borderId="7" xfId="2" applyFont="1" applyFill="1" applyBorder="1" applyAlignment="1" applyProtection="1">
      <alignment horizontal="center"/>
      <protection hidden="1"/>
    </xf>
    <xf numFmtId="0" fontId="16" fillId="7" borderId="3" xfId="0" applyFont="1" applyFill="1" applyBorder="1" applyAlignment="1" applyProtection="1">
      <alignment horizontal="center" vertical="center" shrinkToFit="1"/>
      <protection hidden="1"/>
    </xf>
    <xf numFmtId="0" fontId="16" fillId="7" borderId="3" xfId="0" applyFont="1" applyFill="1" applyBorder="1" applyAlignment="1" applyProtection="1">
      <alignment horizontal="center" vertical="center" shrinkToFit="1"/>
      <protection hidden="1"/>
    </xf>
    <xf numFmtId="0" fontId="17" fillId="7" borderId="3" xfId="0" applyFont="1" applyFill="1" applyBorder="1" applyAlignment="1" applyProtection="1">
      <alignment horizontal="center" vertical="center" shrinkToFit="1"/>
      <protection hidden="1"/>
    </xf>
    <xf numFmtId="0" fontId="0" fillId="8" borderId="3" xfId="0" applyFill="1" applyBorder="1" applyAlignment="1" applyProtection="1">
      <alignment horizontal="left" indent="1"/>
      <protection hidden="1"/>
    </xf>
    <xf numFmtId="0" fontId="0" fillId="8" borderId="3" xfId="0" applyNumberFormat="1" applyFont="1" applyFill="1" applyBorder="1" applyAlignment="1" applyProtection="1">
      <alignment horizontal="center"/>
      <protection hidden="1"/>
    </xf>
    <xf numFmtId="0" fontId="15" fillId="8" borderId="3" xfId="0" applyNumberFormat="1" applyFont="1" applyFill="1" applyBorder="1" applyAlignment="1" applyProtection="1">
      <alignment horizontal="center" shrinkToFit="1"/>
      <protection hidden="1"/>
    </xf>
    <xf numFmtId="173" fontId="15" fillId="8" borderId="3" xfId="0" applyNumberFormat="1" applyFont="1" applyFill="1" applyBorder="1" applyAlignment="1" applyProtection="1">
      <alignment horizontal="center"/>
      <protection hidden="1"/>
    </xf>
    <xf numFmtId="44" fontId="15" fillId="8" borderId="3" xfId="2" applyFont="1" applyFill="1" applyBorder="1" applyAlignment="1" applyProtection="1">
      <alignment horizontal="left" shrinkToFit="1"/>
      <protection hidden="1"/>
    </xf>
    <xf numFmtId="0" fontId="0" fillId="8" borderId="3" xfId="0" applyFill="1" applyBorder="1" applyAlignment="1" applyProtection="1">
      <alignment horizontal="center"/>
      <protection hidden="1"/>
    </xf>
    <xf numFmtId="174" fontId="15" fillId="8" borderId="3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1" fillId="0" borderId="0" xfId="0" applyNumberFormat="1" applyFont="1" applyFill="1" applyBorder="1" applyAlignment="1" applyProtection="1">
      <alignment vertical="center"/>
      <protection hidden="1"/>
    </xf>
    <xf numFmtId="0" fontId="18" fillId="3" borderId="0" xfId="0" applyFont="1" applyFill="1" applyAlignment="1" applyProtection="1">
      <alignment horizontal="right"/>
      <protection hidden="1"/>
    </xf>
    <xf numFmtId="171" fontId="18" fillId="3" borderId="0" xfId="0" applyNumberFormat="1" applyFont="1" applyFill="1" applyAlignment="1" applyProtection="1">
      <alignment horizontal="left"/>
      <protection hidden="1"/>
    </xf>
  </cellXfs>
  <cellStyles count="3">
    <cellStyle name="Moneda" xfId="2" builtinId="4"/>
    <cellStyle name="Normal" xfId="0" builtinId="0"/>
    <cellStyle name="Porcentaje" xfId="1" builtinId="5"/>
  </cellStyles>
  <dxfs count="4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/>
              <a:t>Área de superficie</a:t>
            </a:r>
          </a:p>
        </c:rich>
      </c:tx>
      <c:layout>
        <c:manualLayout>
          <c:xMode val="edge"/>
          <c:yMode val="edge"/>
          <c:x val="0.3892221377871913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10253811702695273"/>
          <c:y val="5.1091180866965617E-2"/>
          <c:w val="0.86944444444444446"/>
          <c:h val="0.90406576980568021"/>
        </c:manualLayout>
      </c:layout>
      <c:scatterChart>
        <c:scatterStyle val="lineMarker"/>
        <c:varyColors val="0"/>
        <c:ser>
          <c:idx val="0"/>
          <c:order val="0"/>
          <c:tx>
            <c:v>ÁREA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ACABADOS!$B$11:$B$21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4.8</c:v>
                </c:pt>
                <c:pt idx="6">
                  <c:v>4.8</c:v>
                </c:pt>
                <c:pt idx="7">
                  <c:v>4.2</c:v>
                </c:pt>
                <c:pt idx="9">
                  <c:v>0</c:v>
                </c:pt>
                <c:pt idx="10">
                  <c:v>4.2</c:v>
                </c:pt>
              </c:numCache>
            </c:numRef>
          </c:xVal>
          <c:yVal>
            <c:numRef>
              <c:f>ACABADOS!$C$11:$C$21</c:f>
              <c:numCache>
                <c:formatCode>General</c:formatCode>
                <c:ptCount val="11"/>
                <c:pt idx="0">
                  <c:v>0</c:v>
                </c:pt>
                <c:pt idx="1">
                  <c:v>4.5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4.5</c:v>
                </c:pt>
                <c:pt idx="9">
                  <c:v>4.5</c:v>
                </c:pt>
                <c:pt idx="10">
                  <c:v>4.5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9C-4A18-BBA1-774F244FD5E8}"/>
            </c:ext>
          </c:extLst>
        </c:ser>
        <c:ser>
          <c:idx val="1"/>
          <c:order val="1"/>
          <c:spPr>
            <a:ln w="12700" cap="rnd">
              <a:solidFill>
                <a:schemeClr val="bg2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ACABADOS!$G$156:$G$307</c:f>
              <c:numCache>
                <c:formatCode>General</c:formatCode>
                <c:ptCount val="152"/>
                <c:pt idx="0">
                  <c:v>0</c:v>
                </c:pt>
                <c:pt idx="1">
                  <c:v>0</c:v>
                </c:pt>
                <c:pt idx="3">
                  <c:v>0.45</c:v>
                </c:pt>
                <c:pt idx="4">
                  <c:v>0.45</c:v>
                </c:pt>
                <c:pt idx="6">
                  <c:v>0.9</c:v>
                </c:pt>
                <c:pt idx="7">
                  <c:v>0.9</c:v>
                </c:pt>
                <c:pt idx="9">
                  <c:v>1.35</c:v>
                </c:pt>
                <c:pt idx="10">
                  <c:v>1.35</c:v>
                </c:pt>
                <c:pt idx="12">
                  <c:v>1.8</c:v>
                </c:pt>
                <c:pt idx="13">
                  <c:v>1.8</c:v>
                </c:pt>
                <c:pt idx="15">
                  <c:v>2.25</c:v>
                </c:pt>
                <c:pt idx="16">
                  <c:v>2.25</c:v>
                </c:pt>
                <c:pt idx="18">
                  <c:v>2.7</c:v>
                </c:pt>
                <c:pt idx="19">
                  <c:v>2.7</c:v>
                </c:pt>
                <c:pt idx="21">
                  <c:v>3.15</c:v>
                </c:pt>
                <c:pt idx="22">
                  <c:v>3.15</c:v>
                </c:pt>
                <c:pt idx="24">
                  <c:v>3.6</c:v>
                </c:pt>
                <c:pt idx="25">
                  <c:v>3.6</c:v>
                </c:pt>
                <c:pt idx="27">
                  <c:v>4.05</c:v>
                </c:pt>
                <c:pt idx="28">
                  <c:v>4.05</c:v>
                </c:pt>
                <c:pt idx="30">
                  <c:v>4.5</c:v>
                </c:pt>
                <c:pt idx="31">
                  <c:v>4.5</c:v>
                </c:pt>
                <c:pt idx="33">
                  <c:v>4.95</c:v>
                </c:pt>
                <c:pt idx="34">
                  <c:v>4.95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2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49">
                  <c:v>0</c:v>
                </c:pt>
                <c:pt idx="51">
                  <c:v>0</c:v>
                </c:pt>
                <c:pt idx="52">
                  <c:v>0</c:v>
                </c:pt>
                <c:pt idx="54">
                  <c:v>0</c:v>
                </c:pt>
                <c:pt idx="55">
                  <c:v>0</c:v>
                </c:pt>
                <c:pt idx="57">
                  <c:v>0</c:v>
                </c:pt>
                <c:pt idx="58">
                  <c:v>0</c:v>
                </c:pt>
                <c:pt idx="60">
                  <c:v>0</c:v>
                </c:pt>
                <c:pt idx="61">
                  <c:v>0</c:v>
                </c:pt>
                <c:pt idx="63">
                  <c:v>0</c:v>
                </c:pt>
                <c:pt idx="64">
                  <c:v>0</c:v>
                </c:pt>
                <c:pt idx="66">
                  <c:v>0</c:v>
                </c:pt>
                <c:pt idx="67">
                  <c:v>0</c:v>
                </c:pt>
                <c:pt idx="69">
                  <c:v>0</c:v>
                </c:pt>
                <c:pt idx="70">
                  <c:v>0</c:v>
                </c:pt>
                <c:pt idx="72">
                  <c:v>0</c:v>
                </c:pt>
                <c:pt idx="73">
                  <c:v>0</c:v>
                </c:pt>
                <c:pt idx="75">
                  <c:v>0</c:v>
                </c:pt>
                <c:pt idx="76">
                  <c:v>0</c:v>
                </c:pt>
                <c:pt idx="78">
                  <c:v>0</c:v>
                </c:pt>
                <c:pt idx="79">
                  <c:v>0</c:v>
                </c:pt>
                <c:pt idx="81">
                  <c:v>0</c:v>
                </c:pt>
                <c:pt idx="82">
                  <c:v>0</c:v>
                </c:pt>
                <c:pt idx="84">
                  <c:v>0</c:v>
                </c:pt>
                <c:pt idx="85">
                  <c:v>0</c:v>
                </c:pt>
                <c:pt idx="87">
                  <c:v>0</c:v>
                </c:pt>
                <c:pt idx="88">
                  <c:v>0</c:v>
                </c:pt>
                <c:pt idx="90">
                  <c:v>0</c:v>
                </c:pt>
                <c:pt idx="91">
                  <c:v>0</c:v>
                </c:pt>
                <c:pt idx="93">
                  <c:v>0</c:v>
                </c:pt>
                <c:pt idx="94">
                  <c:v>0</c:v>
                </c:pt>
                <c:pt idx="96">
                  <c:v>0</c:v>
                </c:pt>
                <c:pt idx="97">
                  <c:v>0</c:v>
                </c:pt>
                <c:pt idx="99">
                  <c:v>0</c:v>
                </c:pt>
                <c:pt idx="100">
                  <c:v>0</c:v>
                </c:pt>
                <c:pt idx="102">
                  <c:v>0</c:v>
                </c:pt>
                <c:pt idx="103">
                  <c:v>0</c:v>
                </c:pt>
                <c:pt idx="105">
                  <c:v>0</c:v>
                </c:pt>
                <c:pt idx="106">
                  <c:v>0</c:v>
                </c:pt>
                <c:pt idx="108">
                  <c:v>0</c:v>
                </c:pt>
                <c:pt idx="109">
                  <c:v>0</c:v>
                </c:pt>
                <c:pt idx="111">
                  <c:v>0</c:v>
                </c:pt>
                <c:pt idx="112">
                  <c:v>0</c:v>
                </c:pt>
                <c:pt idx="114">
                  <c:v>0</c:v>
                </c:pt>
                <c:pt idx="115">
                  <c:v>0</c:v>
                </c:pt>
                <c:pt idx="117">
                  <c:v>0</c:v>
                </c:pt>
                <c:pt idx="118">
                  <c:v>0</c:v>
                </c:pt>
                <c:pt idx="120">
                  <c:v>0</c:v>
                </c:pt>
                <c:pt idx="121">
                  <c:v>0</c:v>
                </c:pt>
                <c:pt idx="123">
                  <c:v>0</c:v>
                </c:pt>
                <c:pt idx="124">
                  <c:v>0</c:v>
                </c:pt>
                <c:pt idx="126">
                  <c:v>0</c:v>
                </c:pt>
                <c:pt idx="127">
                  <c:v>0</c:v>
                </c:pt>
                <c:pt idx="129">
                  <c:v>0</c:v>
                </c:pt>
                <c:pt idx="130">
                  <c:v>0</c:v>
                </c:pt>
                <c:pt idx="132">
                  <c:v>0</c:v>
                </c:pt>
                <c:pt idx="133">
                  <c:v>0</c:v>
                </c:pt>
                <c:pt idx="135">
                  <c:v>0</c:v>
                </c:pt>
                <c:pt idx="136">
                  <c:v>0</c:v>
                </c:pt>
                <c:pt idx="138">
                  <c:v>0</c:v>
                </c:pt>
                <c:pt idx="139">
                  <c:v>0</c:v>
                </c:pt>
                <c:pt idx="141">
                  <c:v>0</c:v>
                </c:pt>
                <c:pt idx="142">
                  <c:v>0</c:v>
                </c:pt>
                <c:pt idx="144">
                  <c:v>0</c:v>
                </c:pt>
                <c:pt idx="145">
                  <c:v>0</c:v>
                </c:pt>
                <c:pt idx="147">
                  <c:v>0</c:v>
                </c:pt>
                <c:pt idx="148">
                  <c:v>0</c:v>
                </c:pt>
                <c:pt idx="150">
                  <c:v>0</c:v>
                </c:pt>
                <c:pt idx="151">
                  <c:v>0</c:v>
                </c:pt>
              </c:numCache>
            </c:numRef>
          </c:xVal>
          <c:yVal>
            <c:numRef>
              <c:f>ACABADOS!$H$156:$H$307</c:f>
              <c:numCache>
                <c:formatCode>General</c:formatCode>
                <c:ptCount val="152"/>
                <c:pt idx="0">
                  <c:v>0</c:v>
                </c:pt>
                <c:pt idx="1">
                  <c:v>4.5</c:v>
                </c:pt>
                <c:pt idx="3">
                  <c:v>0</c:v>
                </c:pt>
                <c:pt idx="4">
                  <c:v>4.5</c:v>
                </c:pt>
                <c:pt idx="6">
                  <c:v>0</c:v>
                </c:pt>
                <c:pt idx="7">
                  <c:v>4.5</c:v>
                </c:pt>
                <c:pt idx="9">
                  <c:v>0</c:v>
                </c:pt>
                <c:pt idx="10">
                  <c:v>4.5</c:v>
                </c:pt>
                <c:pt idx="12">
                  <c:v>0</c:v>
                </c:pt>
                <c:pt idx="13">
                  <c:v>4.5</c:v>
                </c:pt>
                <c:pt idx="15">
                  <c:v>0</c:v>
                </c:pt>
                <c:pt idx="16">
                  <c:v>4.5</c:v>
                </c:pt>
                <c:pt idx="18">
                  <c:v>0</c:v>
                </c:pt>
                <c:pt idx="19">
                  <c:v>4.5</c:v>
                </c:pt>
                <c:pt idx="21">
                  <c:v>0</c:v>
                </c:pt>
                <c:pt idx="22">
                  <c:v>4.5</c:v>
                </c:pt>
                <c:pt idx="24">
                  <c:v>0</c:v>
                </c:pt>
                <c:pt idx="25">
                  <c:v>4.5</c:v>
                </c:pt>
                <c:pt idx="27">
                  <c:v>0</c:v>
                </c:pt>
                <c:pt idx="28">
                  <c:v>4.5</c:v>
                </c:pt>
                <c:pt idx="30">
                  <c:v>0</c:v>
                </c:pt>
                <c:pt idx="31">
                  <c:v>4.5</c:v>
                </c:pt>
                <c:pt idx="33">
                  <c:v>0</c:v>
                </c:pt>
                <c:pt idx="34">
                  <c:v>4.5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2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49">
                  <c:v>0</c:v>
                </c:pt>
                <c:pt idx="51">
                  <c:v>0</c:v>
                </c:pt>
                <c:pt idx="52">
                  <c:v>0</c:v>
                </c:pt>
                <c:pt idx="54">
                  <c:v>0</c:v>
                </c:pt>
                <c:pt idx="55">
                  <c:v>0</c:v>
                </c:pt>
                <c:pt idx="57">
                  <c:v>0</c:v>
                </c:pt>
                <c:pt idx="58">
                  <c:v>0</c:v>
                </c:pt>
                <c:pt idx="60">
                  <c:v>0</c:v>
                </c:pt>
                <c:pt idx="61">
                  <c:v>0</c:v>
                </c:pt>
                <c:pt idx="63">
                  <c:v>0</c:v>
                </c:pt>
                <c:pt idx="64">
                  <c:v>0</c:v>
                </c:pt>
                <c:pt idx="66">
                  <c:v>0</c:v>
                </c:pt>
                <c:pt idx="67">
                  <c:v>0</c:v>
                </c:pt>
                <c:pt idx="69">
                  <c:v>0</c:v>
                </c:pt>
                <c:pt idx="70">
                  <c:v>0</c:v>
                </c:pt>
                <c:pt idx="72">
                  <c:v>0</c:v>
                </c:pt>
                <c:pt idx="73">
                  <c:v>0</c:v>
                </c:pt>
                <c:pt idx="75">
                  <c:v>0</c:v>
                </c:pt>
                <c:pt idx="76">
                  <c:v>0</c:v>
                </c:pt>
                <c:pt idx="78">
                  <c:v>0</c:v>
                </c:pt>
                <c:pt idx="79">
                  <c:v>0</c:v>
                </c:pt>
                <c:pt idx="81">
                  <c:v>0</c:v>
                </c:pt>
                <c:pt idx="82">
                  <c:v>0</c:v>
                </c:pt>
                <c:pt idx="84">
                  <c:v>0</c:v>
                </c:pt>
                <c:pt idx="85">
                  <c:v>0</c:v>
                </c:pt>
                <c:pt idx="87">
                  <c:v>0</c:v>
                </c:pt>
                <c:pt idx="88">
                  <c:v>0</c:v>
                </c:pt>
                <c:pt idx="90">
                  <c:v>0</c:v>
                </c:pt>
                <c:pt idx="91">
                  <c:v>0</c:v>
                </c:pt>
                <c:pt idx="93">
                  <c:v>0</c:v>
                </c:pt>
                <c:pt idx="94">
                  <c:v>0</c:v>
                </c:pt>
                <c:pt idx="96">
                  <c:v>0</c:v>
                </c:pt>
                <c:pt idx="97">
                  <c:v>0</c:v>
                </c:pt>
                <c:pt idx="99">
                  <c:v>0</c:v>
                </c:pt>
                <c:pt idx="100">
                  <c:v>0</c:v>
                </c:pt>
                <c:pt idx="102">
                  <c:v>0</c:v>
                </c:pt>
                <c:pt idx="103">
                  <c:v>0</c:v>
                </c:pt>
                <c:pt idx="105">
                  <c:v>0</c:v>
                </c:pt>
                <c:pt idx="106">
                  <c:v>0</c:v>
                </c:pt>
                <c:pt idx="108">
                  <c:v>0</c:v>
                </c:pt>
                <c:pt idx="109">
                  <c:v>0</c:v>
                </c:pt>
                <c:pt idx="111">
                  <c:v>0</c:v>
                </c:pt>
                <c:pt idx="112">
                  <c:v>0</c:v>
                </c:pt>
                <c:pt idx="114">
                  <c:v>0</c:v>
                </c:pt>
                <c:pt idx="115">
                  <c:v>0</c:v>
                </c:pt>
                <c:pt idx="117">
                  <c:v>0</c:v>
                </c:pt>
                <c:pt idx="118">
                  <c:v>0</c:v>
                </c:pt>
                <c:pt idx="120">
                  <c:v>0</c:v>
                </c:pt>
                <c:pt idx="121">
                  <c:v>0</c:v>
                </c:pt>
                <c:pt idx="123">
                  <c:v>0</c:v>
                </c:pt>
                <c:pt idx="124">
                  <c:v>0</c:v>
                </c:pt>
                <c:pt idx="126">
                  <c:v>0</c:v>
                </c:pt>
                <c:pt idx="127">
                  <c:v>0</c:v>
                </c:pt>
                <c:pt idx="129">
                  <c:v>0</c:v>
                </c:pt>
                <c:pt idx="130">
                  <c:v>0</c:v>
                </c:pt>
                <c:pt idx="132">
                  <c:v>0</c:v>
                </c:pt>
                <c:pt idx="133">
                  <c:v>0</c:v>
                </c:pt>
                <c:pt idx="135">
                  <c:v>0</c:v>
                </c:pt>
                <c:pt idx="136">
                  <c:v>0</c:v>
                </c:pt>
                <c:pt idx="138">
                  <c:v>0</c:v>
                </c:pt>
                <c:pt idx="139">
                  <c:v>0</c:v>
                </c:pt>
                <c:pt idx="141">
                  <c:v>0</c:v>
                </c:pt>
                <c:pt idx="142">
                  <c:v>0</c:v>
                </c:pt>
                <c:pt idx="144">
                  <c:v>0</c:v>
                </c:pt>
                <c:pt idx="145">
                  <c:v>0</c:v>
                </c:pt>
                <c:pt idx="147">
                  <c:v>0</c:v>
                </c:pt>
                <c:pt idx="148">
                  <c:v>0</c:v>
                </c:pt>
                <c:pt idx="150">
                  <c:v>0</c:v>
                </c:pt>
                <c:pt idx="15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59C-4A18-BBA1-774F244FD5E8}"/>
            </c:ext>
          </c:extLst>
        </c:ser>
        <c:ser>
          <c:idx val="2"/>
          <c:order val="2"/>
          <c:spPr>
            <a:ln w="12700" cap="rnd">
              <a:solidFill>
                <a:schemeClr val="bg2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ACABADOS!$I$156:$I$307</c:f>
              <c:numCache>
                <c:formatCode>General</c:formatCode>
                <c:ptCount val="152"/>
                <c:pt idx="0">
                  <c:v>0</c:v>
                </c:pt>
                <c:pt idx="1">
                  <c:v>4.95</c:v>
                </c:pt>
                <c:pt idx="3">
                  <c:v>0</c:v>
                </c:pt>
                <c:pt idx="4">
                  <c:v>4.95</c:v>
                </c:pt>
                <c:pt idx="6">
                  <c:v>0</c:v>
                </c:pt>
                <c:pt idx="7">
                  <c:v>4.95</c:v>
                </c:pt>
                <c:pt idx="9">
                  <c:v>0</c:v>
                </c:pt>
                <c:pt idx="10">
                  <c:v>4.95</c:v>
                </c:pt>
                <c:pt idx="12">
                  <c:v>0</c:v>
                </c:pt>
                <c:pt idx="13">
                  <c:v>4.95</c:v>
                </c:pt>
                <c:pt idx="15">
                  <c:v>0</c:v>
                </c:pt>
                <c:pt idx="16">
                  <c:v>4.95</c:v>
                </c:pt>
                <c:pt idx="18">
                  <c:v>0</c:v>
                </c:pt>
                <c:pt idx="19">
                  <c:v>4.95</c:v>
                </c:pt>
                <c:pt idx="21">
                  <c:v>0</c:v>
                </c:pt>
                <c:pt idx="22">
                  <c:v>4.95</c:v>
                </c:pt>
                <c:pt idx="24">
                  <c:v>0</c:v>
                </c:pt>
                <c:pt idx="25">
                  <c:v>4.95</c:v>
                </c:pt>
                <c:pt idx="27">
                  <c:v>0</c:v>
                </c:pt>
                <c:pt idx="28">
                  <c:v>4.95</c:v>
                </c:pt>
                <c:pt idx="30">
                  <c:v>0</c:v>
                </c:pt>
                <c:pt idx="31">
                  <c:v>4.95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2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49">
                  <c:v>0</c:v>
                </c:pt>
                <c:pt idx="51">
                  <c:v>0</c:v>
                </c:pt>
                <c:pt idx="52">
                  <c:v>0</c:v>
                </c:pt>
                <c:pt idx="54">
                  <c:v>0</c:v>
                </c:pt>
                <c:pt idx="55">
                  <c:v>0</c:v>
                </c:pt>
                <c:pt idx="57">
                  <c:v>0</c:v>
                </c:pt>
                <c:pt idx="58">
                  <c:v>0</c:v>
                </c:pt>
                <c:pt idx="60">
                  <c:v>0</c:v>
                </c:pt>
                <c:pt idx="61">
                  <c:v>0</c:v>
                </c:pt>
                <c:pt idx="63">
                  <c:v>0</c:v>
                </c:pt>
                <c:pt idx="64">
                  <c:v>0</c:v>
                </c:pt>
                <c:pt idx="66">
                  <c:v>0</c:v>
                </c:pt>
                <c:pt idx="67">
                  <c:v>0</c:v>
                </c:pt>
                <c:pt idx="69">
                  <c:v>0</c:v>
                </c:pt>
                <c:pt idx="70">
                  <c:v>0</c:v>
                </c:pt>
                <c:pt idx="72">
                  <c:v>0</c:v>
                </c:pt>
                <c:pt idx="73">
                  <c:v>0</c:v>
                </c:pt>
                <c:pt idx="75">
                  <c:v>0</c:v>
                </c:pt>
                <c:pt idx="76">
                  <c:v>0</c:v>
                </c:pt>
                <c:pt idx="78">
                  <c:v>0</c:v>
                </c:pt>
                <c:pt idx="79">
                  <c:v>0</c:v>
                </c:pt>
                <c:pt idx="81">
                  <c:v>0</c:v>
                </c:pt>
                <c:pt idx="82">
                  <c:v>0</c:v>
                </c:pt>
                <c:pt idx="84">
                  <c:v>0</c:v>
                </c:pt>
                <c:pt idx="85">
                  <c:v>0</c:v>
                </c:pt>
                <c:pt idx="87">
                  <c:v>0</c:v>
                </c:pt>
                <c:pt idx="88">
                  <c:v>0</c:v>
                </c:pt>
                <c:pt idx="90">
                  <c:v>0</c:v>
                </c:pt>
                <c:pt idx="91">
                  <c:v>0</c:v>
                </c:pt>
                <c:pt idx="93">
                  <c:v>0</c:v>
                </c:pt>
                <c:pt idx="94">
                  <c:v>0</c:v>
                </c:pt>
                <c:pt idx="96">
                  <c:v>0</c:v>
                </c:pt>
                <c:pt idx="97">
                  <c:v>0</c:v>
                </c:pt>
                <c:pt idx="99">
                  <c:v>0</c:v>
                </c:pt>
                <c:pt idx="100">
                  <c:v>0</c:v>
                </c:pt>
                <c:pt idx="102">
                  <c:v>0</c:v>
                </c:pt>
                <c:pt idx="103">
                  <c:v>0</c:v>
                </c:pt>
                <c:pt idx="105">
                  <c:v>0</c:v>
                </c:pt>
                <c:pt idx="106">
                  <c:v>0</c:v>
                </c:pt>
                <c:pt idx="108">
                  <c:v>0</c:v>
                </c:pt>
                <c:pt idx="109">
                  <c:v>0</c:v>
                </c:pt>
                <c:pt idx="111">
                  <c:v>0</c:v>
                </c:pt>
                <c:pt idx="112">
                  <c:v>0</c:v>
                </c:pt>
                <c:pt idx="114">
                  <c:v>0</c:v>
                </c:pt>
                <c:pt idx="115">
                  <c:v>0</c:v>
                </c:pt>
                <c:pt idx="117">
                  <c:v>0</c:v>
                </c:pt>
                <c:pt idx="118">
                  <c:v>0</c:v>
                </c:pt>
                <c:pt idx="120">
                  <c:v>0</c:v>
                </c:pt>
                <c:pt idx="121">
                  <c:v>0</c:v>
                </c:pt>
                <c:pt idx="123">
                  <c:v>0</c:v>
                </c:pt>
                <c:pt idx="124">
                  <c:v>0</c:v>
                </c:pt>
                <c:pt idx="126">
                  <c:v>0</c:v>
                </c:pt>
                <c:pt idx="127">
                  <c:v>0</c:v>
                </c:pt>
                <c:pt idx="129">
                  <c:v>0</c:v>
                </c:pt>
                <c:pt idx="130">
                  <c:v>0</c:v>
                </c:pt>
                <c:pt idx="132">
                  <c:v>0</c:v>
                </c:pt>
                <c:pt idx="133">
                  <c:v>0</c:v>
                </c:pt>
                <c:pt idx="135">
                  <c:v>0</c:v>
                </c:pt>
                <c:pt idx="136">
                  <c:v>0</c:v>
                </c:pt>
                <c:pt idx="138">
                  <c:v>0</c:v>
                </c:pt>
                <c:pt idx="139">
                  <c:v>0</c:v>
                </c:pt>
                <c:pt idx="141">
                  <c:v>0</c:v>
                </c:pt>
                <c:pt idx="142">
                  <c:v>0</c:v>
                </c:pt>
                <c:pt idx="144">
                  <c:v>0</c:v>
                </c:pt>
                <c:pt idx="145">
                  <c:v>0</c:v>
                </c:pt>
                <c:pt idx="147">
                  <c:v>0</c:v>
                </c:pt>
                <c:pt idx="148">
                  <c:v>0</c:v>
                </c:pt>
                <c:pt idx="150">
                  <c:v>0</c:v>
                </c:pt>
                <c:pt idx="151">
                  <c:v>0</c:v>
                </c:pt>
              </c:numCache>
            </c:numRef>
          </c:xVal>
          <c:yVal>
            <c:numRef>
              <c:f>ACABADOS!$J$156:$J$307</c:f>
              <c:numCache>
                <c:formatCode>General</c:formatCode>
                <c:ptCount val="152"/>
                <c:pt idx="0">
                  <c:v>0</c:v>
                </c:pt>
                <c:pt idx="1">
                  <c:v>0</c:v>
                </c:pt>
                <c:pt idx="3">
                  <c:v>0.45</c:v>
                </c:pt>
                <c:pt idx="4">
                  <c:v>0.45</c:v>
                </c:pt>
                <c:pt idx="6">
                  <c:v>0.9</c:v>
                </c:pt>
                <c:pt idx="7">
                  <c:v>0.9</c:v>
                </c:pt>
                <c:pt idx="9">
                  <c:v>1.35</c:v>
                </c:pt>
                <c:pt idx="10">
                  <c:v>1.35</c:v>
                </c:pt>
                <c:pt idx="12">
                  <c:v>1.8</c:v>
                </c:pt>
                <c:pt idx="13">
                  <c:v>1.8</c:v>
                </c:pt>
                <c:pt idx="15">
                  <c:v>2.25</c:v>
                </c:pt>
                <c:pt idx="16">
                  <c:v>2.25</c:v>
                </c:pt>
                <c:pt idx="18">
                  <c:v>2.7</c:v>
                </c:pt>
                <c:pt idx="19">
                  <c:v>2.7</c:v>
                </c:pt>
                <c:pt idx="21">
                  <c:v>3.15</c:v>
                </c:pt>
                <c:pt idx="22">
                  <c:v>3.15</c:v>
                </c:pt>
                <c:pt idx="24">
                  <c:v>3.6</c:v>
                </c:pt>
                <c:pt idx="25">
                  <c:v>3.6</c:v>
                </c:pt>
                <c:pt idx="27">
                  <c:v>4.05</c:v>
                </c:pt>
                <c:pt idx="28">
                  <c:v>4.05</c:v>
                </c:pt>
                <c:pt idx="30">
                  <c:v>4.5</c:v>
                </c:pt>
                <c:pt idx="31">
                  <c:v>4.5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2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49">
                  <c:v>0</c:v>
                </c:pt>
                <c:pt idx="51">
                  <c:v>0</c:v>
                </c:pt>
                <c:pt idx="52">
                  <c:v>0</c:v>
                </c:pt>
                <c:pt idx="54">
                  <c:v>0</c:v>
                </c:pt>
                <c:pt idx="55">
                  <c:v>0</c:v>
                </c:pt>
                <c:pt idx="57">
                  <c:v>0</c:v>
                </c:pt>
                <c:pt idx="58">
                  <c:v>0</c:v>
                </c:pt>
                <c:pt idx="60">
                  <c:v>0</c:v>
                </c:pt>
                <c:pt idx="61">
                  <c:v>0</c:v>
                </c:pt>
                <c:pt idx="63">
                  <c:v>0</c:v>
                </c:pt>
                <c:pt idx="64">
                  <c:v>0</c:v>
                </c:pt>
                <c:pt idx="66">
                  <c:v>0</c:v>
                </c:pt>
                <c:pt idx="67">
                  <c:v>0</c:v>
                </c:pt>
                <c:pt idx="69">
                  <c:v>0</c:v>
                </c:pt>
                <c:pt idx="70">
                  <c:v>0</c:v>
                </c:pt>
                <c:pt idx="72">
                  <c:v>0</c:v>
                </c:pt>
                <c:pt idx="73">
                  <c:v>0</c:v>
                </c:pt>
                <c:pt idx="75">
                  <c:v>0</c:v>
                </c:pt>
                <c:pt idx="76">
                  <c:v>0</c:v>
                </c:pt>
                <c:pt idx="78">
                  <c:v>0</c:v>
                </c:pt>
                <c:pt idx="79">
                  <c:v>0</c:v>
                </c:pt>
                <c:pt idx="81">
                  <c:v>0</c:v>
                </c:pt>
                <c:pt idx="82">
                  <c:v>0</c:v>
                </c:pt>
                <c:pt idx="84">
                  <c:v>0</c:v>
                </c:pt>
                <c:pt idx="85">
                  <c:v>0</c:v>
                </c:pt>
                <c:pt idx="87">
                  <c:v>0</c:v>
                </c:pt>
                <c:pt idx="88">
                  <c:v>0</c:v>
                </c:pt>
                <c:pt idx="90">
                  <c:v>0</c:v>
                </c:pt>
                <c:pt idx="91">
                  <c:v>0</c:v>
                </c:pt>
                <c:pt idx="93">
                  <c:v>0</c:v>
                </c:pt>
                <c:pt idx="94">
                  <c:v>0</c:v>
                </c:pt>
                <c:pt idx="96">
                  <c:v>0</c:v>
                </c:pt>
                <c:pt idx="97">
                  <c:v>0</c:v>
                </c:pt>
                <c:pt idx="99">
                  <c:v>0</c:v>
                </c:pt>
                <c:pt idx="100">
                  <c:v>0</c:v>
                </c:pt>
                <c:pt idx="102">
                  <c:v>0</c:v>
                </c:pt>
                <c:pt idx="103">
                  <c:v>0</c:v>
                </c:pt>
                <c:pt idx="105">
                  <c:v>0</c:v>
                </c:pt>
                <c:pt idx="106">
                  <c:v>0</c:v>
                </c:pt>
                <c:pt idx="108">
                  <c:v>0</c:v>
                </c:pt>
                <c:pt idx="109">
                  <c:v>0</c:v>
                </c:pt>
                <c:pt idx="111">
                  <c:v>0</c:v>
                </c:pt>
                <c:pt idx="112">
                  <c:v>0</c:v>
                </c:pt>
                <c:pt idx="114">
                  <c:v>0</c:v>
                </c:pt>
                <c:pt idx="115">
                  <c:v>0</c:v>
                </c:pt>
                <c:pt idx="117">
                  <c:v>0</c:v>
                </c:pt>
                <c:pt idx="118">
                  <c:v>0</c:v>
                </c:pt>
                <c:pt idx="120">
                  <c:v>0</c:v>
                </c:pt>
                <c:pt idx="121">
                  <c:v>0</c:v>
                </c:pt>
                <c:pt idx="123">
                  <c:v>0</c:v>
                </c:pt>
                <c:pt idx="124">
                  <c:v>0</c:v>
                </c:pt>
                <c:pt idx="126">
                  <c:v>0</c:v>
                </c:pt>
                <c:pt idx="127">
                  <c:v>0</c:v>
                </c:pt>
                <c:pt idx="129">
                  <c:v>0</c:v>
                </c:pt>
                <c:pt idx="130">
                  <c:v>0</c:v>
                </c:pt>
                <c:pt idx="132">
                  <c:v>0</c:v>
                </c:pt>
                <c:pt idx="133">
                  <c:v>0</c:v>
                </c:pt>
                <c:pt idx="135">
                  <c:v>0</c:v>
                </c:pt>
                <c:pt idx="136">
                  <c:v>0</c:v>
                </c:pt>
                <c:pt idx="138">
                  <c:v>0</c:v>
                </c:pt>
                <c:pt idx="139">
                  <c:v>0</c:v>
                </c:pt>
                <c:pt idx="141">
                  <c:v>0</c:v>
                </c:pt>
                <c:pt idx="142">
                  <c:v>0</c:v>
                </c:pt>
                <c:pt idx="144">
                  <c:v>0</c:v>
                </c:pt>
                <c:pt idx="145">
                  <c:v>0</c:v>
                </c:pt>
                <c:pt idx="147">
                  <c:v>0</c:v>
                </c:pt>
                <c:pt idx="148">
                  <c:v>0</c:v>
                </c:pt>
                <c:pt idx="150">
                  <c:v>0</c:v>
                </c:pt>
                <c:pt idx="15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59C-4A18-BBA1-774F244FD5E8}"/>
            </c:ext>
          </c:extLst>
        </c:ser>
        <c:ser>
          <c:idx val="3"/>
          <c:order val="3"/>
          <c:tx>
            <c:v>A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7628D180-0452-4E3B-BC9E-40146F7AA14F}" type="CELLRANGE">
                      <a:rPr lang="en-US"/>
                      <a:pPr/>
                      <a:t>[CELLRANGE]</a:t>
                    </a:fld>
                    <a:endParaRPr lang="es-P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251F-4DFE-92AD-BF06E562D0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effectLst>
                      <a:glow rad="127000">
                        <a:schemeClr val="bg1"/>
                      </a:glow>
                    </a:effectLst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ACABADOS!$N$170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ACABADOS!$O$170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ACABADOS!$M$170</c15:f>
                <c15:dlblRangeCache>
                  <c:ptCount val="1"/>
                  <c:pt idx="0">
                    <c:v>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251F-4DFE-92AD-BF06E562D084}"/>
            </c:ext>
          </c:extLst>
        </c:ser>
        <c:ser>
          <c:idx val="4"/>
          <c:order val="4"/>
          <c:tx>
            <c:v>B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A1A5658D-AECA-4296-B5BE-FAF619EAE75E}" type="CELLRANGE">
                      <a:rPr lang="en-US"/>
                      <a:pPr/>
                      <a:t>[CELLRANGE]</a:t>
                    </a:fld>
                    <a:endParaRPr lang="es-P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251F-4DFE-92AD-BF06E562D0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effectLst>
                      <a:glow rad="127000">
                        <a:schemeClr val="bg1"/>
                      </a:glow>
                    </a:effectLst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ACABADOS!$N$172</c:f>
              <c:numCache>
                <c:formatCode>General</c:formatCode>
                <c:ptCount val="1"/>
                <c:pt idx="0">
                  <c:v>4.8</c:v>
                </c:pt>
              </c:numCache>
            </c:numRef>
          </c:xVal>
          <c:yVal>
            <c:numRef>
              <c:f>ACABADOS!$O$172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ACABADOS!$M$172</c15:f>
                <c15:dlblRangeCache>
                  <c:ptCount val="1"/>
                  <c:pt idx="0">
                    <c:v>B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251F-4DFE-92AD-BF06E562D084}"/>
            </c:ext>
          </c:extLst>
        </c:ser>
        <c:ser>
          <c:idx val="5"/>
          <c:order val="5"/>
          <c:tx>
            <c:v>C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D6B9D7B9-7ECD-4FB8-8A24-90D0D2D11EA5}" type="CELLRANGE">
                      <a:rPr lang="en-US"/>
                      <a:pPr/>
                      <a:t>[CELLRANGE]</a:t>
                    </a:fld>
                    <a:endParaRPr lang="es-P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251F-4DFE-92AD-BF06E562D0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effectLst>
                      <a:glow rad="127000">
                        <a:schemeClr val="bg1"/>
                      </a:glow>
                    </a:effectLst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ACABADOS!$N$174</c:f>
              <c:numCache>
                <c:formatCode>General</c:formatCode>
                <c:ptCount val="1"/>
                <c:pt idx="0">
                  <c:v>4.2</c:v>
                </c:pt>
              </c:numCache>
            </c:numRef>
          </c:xVal>
          <c:yVal>
            <c:numRef>
              <c:f>ACABADOS!$O$174</c:f>
              <c:numCache>
                <c:formatCode>General</c:formatCode>
                <c:ptCount val="1"/>
                <c:pt idx="0">
                  <c:v>4.54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ACABADOS!$M$174</c15:f>
                <c15:dlblRangeCache>
                  <c:ptCount val="1"/>
                  <c:pt idx="0">
                    <c:v>C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251F-4DFE-92AD-BF06E562D084}"/>
            </c:ext>
          </c:extLst>
        </c:ser>
        <c:ser>
          <c:idx val="6"/>
          <c:order val="6"/>
          <c:tx>
            <c:v>D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08B143D5-B76B-4768-A008-19840C3FB974}" type="CELLRANGE">
                      <a:rPr lang="en-US"/>
                      <a:pPr/>
                      <a:t>[CELLRANGE]</a:t>
                    </a:fld>
                    <a:endParaRPr lang="es-P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251F-4DFE-92AD-BF06E562D0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effectLst>
                      <a:glow rad="127000">
                        <a:schemeClr val="bg1"/>
                      </a:glow>
                    </a:effectLst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ACABADOS!$N$176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ACABADOS!$O$176</c:f>
              <c:numCache>
                <c:formatCode>General</c:formatCode>
                <c:ptCount val="1"/>
                <c:pt idx="0">
                  <c:v>4.5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ACABADOS!$M$176</c15:f>
                <c15:dlblRangeCache>
                  <c:ptCount val="1"/>
                  <c:pt idx="0">
                    <c:v>D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4-251F-4DFE-92AD-BF06E562D084}"/>
            </c:ext>
          </c:extLst>
        </c:ser>
        <c:ser>
          <c:idx val="7"/>
          <c:order val="7"/>
          <c:tx>
            <c:v>AB</c:v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80C09CE8-B36C-451F-BCDC-792723BF2814}" type="CELLRANGE">
                      <a:rPr lang="en-US"/>
                      <a:pPr/>
                      <a:t>[CELLRANGE]</a:t>
                    </a:fld>
                    <a:endParaRPr lang="es-PE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251F-4DFE-92AD-BF06E562D0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ACABADOS!$N$178</c:f>
              <c:numCache>
                <c:formatCode>General</c:formatCode>
                <c:ptCount val="1"/>
                <c:pt idx="0">
                  <c:v>2.4</c:v>
                </c:pt>
              </c:numCache>
            </c:numRef>
          </c:xVal>
          <c:yVal>
            <c:numRef>
              <c:f>ACABADOS!$O$178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ACABADOS!$M$178</c15:f>
                <c15:dlblRangeCache>
                  <c:ptCount val="1"/>
                  <c:pt idx="0">
                    <c:v>4.8 m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9-251F-4DFE-92AD-BF06E562D084}"/>
            </c:ext>
          </c:extLst>
        </c:ser>
        <c:ser>
          <c:idx val="8"/>
          <c:order val="8"/>
          <c:tx>
            <c:v>BC</c:v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58F763F5-92B7-4561-AABF-6CFDAB1E581D}" type="CELLRANGE">
                      <a:rPr lang="en-US"/>
                      <a:pPr/>
                      <a:t>[CELLRANGE]</a:t>
                    </a:fld>
                    <a:endParaRPr lang="es-P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251F-4DFE-92AD-BF06E562D0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ACABADOS!$N$180</c:f>
              <c:numCache>
                <c:formatCode>General</c:formatCode>
                <c:ptCount val="1"/>
                <c:pt idx="0">
                  <c:v>4.5</c:v>
                </c:pt>
              </c:numCache>
            </c:numRef>
          </c:xVal>
          <c:yVal>
            <c:numRef>
              <c:f>ACABADOS!$O$180</c:f>
              <c:numCache>
                <c:formatCode>General</c:formatCode>
                <c:ptCount val="1"/>
                <c:pt idx="0">
                  <c:v>2.27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ACABADOS!$M$180</c15:f>
                <c15:dlblRangeCache>
                  <c:ptCount val="1"/>
                  <c:pt idx="0">
                    <c:v>4.54 m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251F-4DFE-92AD-BF06E562D084}"/>
            </c:ext>
          </c:extLst>
        </c:ser>
        <c:ser>
          <c:idx val="9"/>
          <c:order val="9"/>
          <c:tx>
            <c:v>CD</c:v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8A08B8E2-5A1D-4D33-BD7B-168A636CB8F6}" type="CELLRANGE">
                      <a:rPr lang="en-US"/>
                      <a:pPr/>
                      <a:t>[CELLRANGE]</a:t>
                    </a:fld>
                    <a:endParaRPr lang="es-P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251F-4DFE-92AD-BF06E562D0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ACABADOS!$N$182</c:f>
              <c:numCache>
                <c:formatCode>General</c:formatCode>
                <c:ptCount val="1"/>
                <c:pt idx="0">
                  <c:v>2.1</c:v>
                </c:pt>
              </c:numCache>
            </c:numRef>
          </c:xVal>
          <c:yVal>
            <c:numRef>
              <c:f>ACABADOS!$O$182</c:f>
              <c:numCache>
                <c:formatCode>General</c:formatCode>
                <c:ptCount val="1"/>
                <c:pt idx="0">
                  <c:v>4.5199999999999996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ACABADOS!$M$182</c15:f>
                <c15:dlblRangeCache>
                  <c:ptCount val="1"/>
                  <c:pt idx="0">
                    <c:v>4.2 m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251F-4DFE-92AD-BF06E562D084}"/>
            </c:ext>
          </c:extLst>
        </c:ser>
        <c:ser>
          <c:idx val="10"/>
          <c:order val="10"/>
          <c:tx>
            <c:v>AD</c:v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AB42F943-7712-4E4C-9BB0-A824E1872A97}" type="CELLRANGE">
                      <a:rPr lang="en-US"/>
                      <a:pPr/>
                      <a:t>[CELLRANGE]</a:t>
                    </a:fld>
                    <a:endParaRPr lang="es-PE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251F-4DFE-92AD-BF06E562D0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ACABADOS!$N$184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ACABADOS!$O$184</c:f>
              <c:numCache>
                <c:formatCode>General</c:formatCode>
                <c:ptCount val="1"/>
                <c:pt idx="0">
                  <c:v>2.25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ACABADOS!$M$184</c15:f>
                <c15:dlblRangeCache>
                  <c:ptCount val="1"/>
                  <c:pt idx="0">
                    <c:v>4.5 m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C-251F-4DFE-92AD-BF06E562D0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2127703023"/>
        <c:axId val="2128481343"/>
      </c:scatterChart>
      <c:valAx>
        <c:axId val="2127703023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128481343"/>
        <c:crosses val="autoZero"/>
        <c:crossBetween val="midCat"/>
      </c:valAx>
      <c:valAx>
        <c:axId val="212848134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2770302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outube.com/@HebMerma" TargetMode="External"/><Relationship Id="rId13" Type="http://schemas.openxmlformats.org/officeDocument/2006/relationships/image" Target="../media/image6.png"/><Relationship Id="rId3" Type="http://schemas.microsoft.com/office/2007/relationships/hdphoto" Target="../media/hdphoto1.wdp"/><Relationship Id="rId7" Type="http://schemas.openxmlformats.org/officeDocument/2006/relationships/image" Target="../media/image3.png"/><Relationship Id="rId12" Type="http://schemas.microsoft.com/office/2007/relationships/hdphoto" Target="../media/hdphoto2.wdp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hyperlink" Target="https://www.facebook.com/HM.ArquitecturaeIngenieria/" TargetMode="External"/><Relationship Id="rId11" Type="http://schemas.openxmlformats.org/officeDocument/2006/relationships/image" Target="../media/image5.png"/><Relationship Id="rId5" Type="http://schemas.openxmlformats.org/officeDocument/2006/relationships/image" Target="../media/image2.png"/><Relationship Id="rId10" Type="http://schemas.openxmlformats.org/officeDocument/2006/relationships/hyperlink" Target="https://www.tiktok.com/@heb_merma" TargetMode="External"/><Relationship Id="rId4" Type="http://schemas.openxmlformats.org/officeDocument/2006/relationships/hyperlink" Target="https://hebmerma.com/" TargetMode="External"/><Relationship Id="rId9" Type="http://schemas.openxmlformats.org/officeDocument/2006/relationships/image" Target="../media/image4.png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9</xdr:row>
      <xdr:rowOff>19050</xdr:rowOff>
    </xdr:from>
    <xdr:to>
      <xdr:col>8</xdr:col>
      <xdr:colOff>19050</xdr:colOff>
      <xdr:row>31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7FF5CEF-B888-4487-AB0F-23BE452480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9525</xdr:colOff>
      <xdr:row>10</xdr:row>
      <xdr:rowOff>123825</xdr:rowOff>
    </xdr:from>
    <xdr:to>
      <xdr:col>12</xdr:col>
      <xdr:colOff>95250</xdr:colOff>
      <xdr:row>20</xdr:row>
      <xdr:rowOff>40397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60A0B2-DC5A-4DA2-A0C8-102E8CABC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5556" b="96429" l="3953" r="95257">
                      <a14:foregroundMark x1="47431" y1="24206" x2="40316" y2="47222"/>
                      <a14:foregroundMark x1="40316" y1="47222" x2="43874" y2="57143"/>
                      <a14:foregroundMark x1="32016" y1="26984" x2="19368" y2="52778"/>
                      <a14:foregroundMark x1="19368" y1="52778" x2="32016" y2="69048"/>
                      <a14:foregroundMark x1="31621" y1="25000" x2="26087" y2="45238"/>
                      <a14:foregroundMark x1="26087" y1="45238" x2="33992" y2="63889"/>
                      <a14:foregroundMark x1="33992" y1="63889" x2="63636" y2="51587"/>
                      <a14:foregroundMark x1="63636" y1="51587" x2="60870" y2="27381"/>
                      <a14:foregroundMark x1="60870" y1="27381" x2="43478" y2="28175"/>
                      <a14:foregroundMark x1="51383" y1="15873" x2="28854" y2="17857"/>
                      <a14:foregroundMark x1="28854" y1="17857" x2="16996" y2="34127"/>
                      <a14:foregroundMark x1="16996" y1="34127" x2="16996" y2="34921"/>
                      <a14:foregroundMark x1="22530" y1="6746" x2="9091" y2="28175"/>
                      <a14:foregroundMark x1="9091" y1="28175" x2="9881" y2="35714"/>
                      <a14:foregroundMark x1="6324" y1="9524" x2="3953" y2="59921"/>
                      <a14:foregroundMark x1="3953" y1="59921" x2="5534" y2="68254"/>
                      <a14:foregroundMark x1="9881" y1="68254" x2="18577" y2="86905"/>
                      <a14:foregroundMark x1="18577" y1="86905" x2="41502" y2="83333"/>
                      <a14:foregroundMark x1="28063" y1="87302" x2="49802" y2="89683"/>
                      <a14:foregroundMark x1="49802" y1="89683" x2="68775" y2="82540"/>
                      <a14:foregroundMark x1="68775" y1="82540" x2="68775" y2="82540"/>
                      <a14:foregroundMark x1="60870" y1="88889" x2="80632" y2="90079"/>
                      <a14:foregroundMark x1="80632" y1="90079" x2="88933" y2="67460"/>
                      <a14:foregroundMark x1="88933" y1="67460" x2="88933" y2="24206"/>
                      <a14:foregroundMark x1="88933" y1="24206" x2="26087" y2="16270"/>
                      <a14:foregroundMark x1="49012" y1="6349" x2="70356" y2="7937"/>
                      <a14:foregroundMark x1="85375" y1="8333" x2="86166" y2="25000"/>
                      <a14:foregroundMark x1="91304" y1="15476" x2="91304" y2="40476"/>
                      <a14:foregroundMark x1="94466" y1="16667" x2="92885" y2="37698"/>
                      <a14:foregroundMark x1="92885" y1="37698" x2="92490" y2="38492"/>
                      <a14:foregroundMark x1="96047" y1="50000" x2="95652" y2="61905"/>
                      <a14:foregroundMark x1="8696" y1="88492" x2="11067" y2="94048"/>
                      <a14:foregroundMark x1="47826" y1="96032" x2="49802" y2="96429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5819775" y="1533525"/>
          <a:ext cx="1828800" cy="1821572"/>
        </a:xfrm>
        <a:prstGeom prst="rect">
          <a:avLst/>
        </a:prstGeom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190502</xdr:colOff>
      <xdr:row>0</xdr:row>
      <xdr:rowOff>28576</xdr:rowOff>
    </xdr:from>
    <xdr:to>
      <xdr:col>1</xdr:col>
      <xdr:colOff>389366</xdr:colOff>
      <xdr:row>6</xdr:row>
      <xdr:rowOff>47625</xdr:rowOff>
    </xdr:to>
    <xdr:pic>
      <xdr:nvPicPr>
        <xdr:cNvPr id="4" name="Imagen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B088EDB-70AD-413B-9CCE-F2FA75ACA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2" y="28576"/>
          <a:ext cx="779889" cy="790574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7</xdr:row>
      <xdr:rowOff>4397</xdr:rowOff>
    </xdr:from>
    <xdr:to>
      <xdr:col>0</xdr:col>
      <xdr:colOff>371087</xdr:colOff>
      <xdr:row>7</xdr:row>
      <xdr:rowOff>184749</xdr:rowOff>
    </xdr:to>
    <xdr:pic>
      <xdr:nvPicPr>
        <xdr:cNvPr id="5" name="Imagen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6F6E7EC-F24F-49C5-98F1-FB9C68D86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833072"/>
          <a:ext cx="171062" cy="180352"/>
        </a:xfrm>
        <a:prstGeom prst="rect">
          <a:avLst/>
        </a:prstGeom>
        <a:ln>
          <a:noFill/>
        </a:ln>
        <a:effectLst/>
      </xdr:spPr>
    </xdr:pic>
    <xdr:clientData/>
  </xdr:twoCellAnchor>
  <xdr:twoCellAnchor editAs="oneCell">
    <xdr:from>
      <xdr:col>0</xdr:col>
      <xdr:colOff>466726</xdr:colOff>
      <xdr:row>7</xdr:row>
      <xdr:rowOff>23934</xdr:rowOff>
    </xdr:from>
    <xdr:to>
      <xdr:col>1</xdr:col>
      <xdr:colOff>101287</xdr:colOff>
      <xdr:row>7</xdr:row>
      <xdr:rowOff>181861</xdr:rowOff>
    </xdr:to>
    <xdr:pic>
      <xdr:nvPicPr>
        <xdr:cNvPr id="6" name="Imagen 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D1D7A730-9817-489B-B334-54143893F8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6" y="852609"/>
          <a:ext cx="215586" cy="157927"/>
        </a:xfrm>
        <a:prstGeom prst="rect">
          <a:avLst/>
        </a:prstGeom>
        <a:ln>
          <a:noFill/>
        </a:ln>
        <a:effectLst/>
      </xdr:spPr>
    </xdr:pic>
    <xdr:clientData/>
  </xdr:twoCellAnchor>
  <xdr:twoCellAnchor editAs="oneCell">
    <xdr:from>
      <xdr:col>1</xdr:col>
      <xdr:colOff>189598</xdr:colOff>
      <xdr:row>7</xdr:row>
      <xdr:rowOff>16448</xdr:rowOff>
    </xdr:from>
    <xdr:to>
      <xdr:col>1</xdr:col>
      <xdr:colOff>361950</xdr:colOff>
      <xdr:row>8</xdr:row>
      <xdr:rowOff>279</xdr:rowOff>
    </xdr:to>
    <xdr:pic>
      <xdr:nvPicPr>
        <xdr:cNvPr id="7" name="Imagen 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1C7AACC4-4FAE-4D7E-A4E1-AFE20723F0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backgroundRemoval t="4211" b="98947" l="2128" r="96809">
                      <a14:foregroundMark x1="73404" y1="73684" x2="73404" y2="73684"/>
                      <a14:foregroundMark x1="80851" y1="67368" x2="86170" y2="58947"/>
                      <a14:foregroundMark x1="88298" y1="48421" x2="87234" y2="36842"/>
                      <a14:foregroundMark x1="75532" y1="17895" x2="53191" y2="5263"/>
                      <a14:foregroundMark x1="37234" y1="7368" x2="21277" y2="31579"/>
                      <a14:foregroundMark x1="13830" y1="37895" x2="14894" y2="58947"/>
                      <a14:foregroundMark x1="23404" y1="44211" x2="39362" y2="26316"/>
                      <a14:foregroundMark x1="11702" y1="44211" x2="10638" y2="66316"/>
                      <a14:foregroundMark x1="15957" y1="71579" x2="16319" y2="72177"/>
                      <a14:foregroundMark x1="39362" y1="89474" x2="58511" y2="90526"/>
                      <a14:foregroundMark x1="68085" y1="84211" x2="78723" y2="70526"/>
                      <a14:foregroundMark x1="74468" y1="66316" x2="74468" y2="66316"/>
                      <a14:foregroundMark x1="88298" y1="66316" x2="96809" y2="55789"/>
                      <a14:foregroundMark x1="39362" y1="91579" x2="48936" y2="93684"/>
                      <a14:foregroundMark x1="3191" y1="50526" x2="3191" y2="50526"/>
                      <a14:foregroundMark x1="47872" y1="97895" x2="47872" y2="97895"/>
                      <a14:foregroundMark x1="46809" y1="98947" x2="46809" y2="98947"/>
                      <a14:foregroundMark x1="46809" y1="98947" x2="46809" y2="98947"/>
                      <a14:foregroundMark x1="46809" y1="98947" x2="46809" y2="98947"/>
                      <a14:foregroundMark x1="45745" y1="98947" x2="45745" y2="98947"/>
                      <a14:foregroundMark x1="59574" y1="52632" x2="59574" y2="52632"/>
                      <a14:foregroundMark x1="55319" y1="47368" x2="55319" y2="47368"/>
                      <a14:foregroundMark x1="58511" y1="41053" x2="60638" y2="40000"/>
                      <a14:foregroundMark x1="59574" y1="32632" x2="58511" y2="26316"/>
                      <a14:foregroundMark x1="38298" y1="52632" x2="30851" y2="68421"/>
                      <a14:foregroundMark x1="39362" y1="73684" x2="57447" y2="72632"/>
                      <a14:foregroundMark x1="46809" y1="97895" x2="46809" y2="97895"/>
                      <a14:foregroundMark x1="46809" y1="97895" x2="46809" y2="97895"/>
                      <a14:foregroundMark x1="47872" y1="93684" x2="47872" y2="93684"/>
                      <a14:foregroundMark x1="51064" y1="91579" x2="51064" y2="91579"/>
                      <a14:backgroundMark x1="88298" y1="93684" x2="88298" y2="93684"/>
                      <a14:backgroundMark x1="89362" y1="92632" x2="90426" y2="90526"/>
                      <a14:backgroundMark x1="93617" y1="15789" x2="85106" y2="4211"/>
                      <a14:backgroundMark x1="15957" y1="2105" x2="1064" y2="21053"/>
                      <a14:backgroundMark x1="1064" y1="81053" x2="9574" y2="93684"/>
                      <a14:backgroundMark x1="14894" y1="93684" x2="22340" y2="94737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70623" y="845123"/>
          <a:ext cx="172352" cy="182990"/>
        </a:xfrm>
        <a:prstGeom prst="rect">
          <a:avLst/>
        </a:prstGeom>
        <a:ln>
          <a:noFill/>
        </a:ln>
        <a:effectLst/>
      </xdr:spPr>
    </xdr:pic>
    <xdr:clientData/>
  </xdr:twoCellAnchor>
  <xdr:twoCellAnchor editAs="oneCell">
    <xdr:from>
      <xdr:col>12</xdr:col>
      <xdr:colOff>419100</xdr:colOff>
      <xdr:row>10</xdr:row>
      <xdr:rowOff>161924</xdr:rowOff>
    </xdr:from>
    <xdr:to>
      <xdr:col>16</xdr:col>
      <xdr:colOff>209549</xdr:colOff>
      <xdr:row>20</xdr:row>
      <xdr:rowOff>108775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7DE567F5-DC0C-47E8-886A-2FC0316A28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3450" y="1571624"/>
          <a:ext cx="2114549" cy="1851851"/>
        </a:xfrm>
        <a:prstGeom prst="rect">
          <a:avLst/>
        </a:prstGeom>
      </xdr:spPr>
    </xdr:pic>
    <xdr:clientData/>
  </xdr:twoCellAnchor>
  <xdr:twoCellAnchor>
    <xdr:from>
      <xdr:col>9</xdr:col>
      <xdr:colOff>47625</xdr:colOff>
      <xdr:row>20</xdr:row>
      <xdr:rowOff>157163</xdr:rowOff>
    </xdr:from>
    <xdr:to>
      <xdr:col>12</xdr:col>
      <xdr:colOff>19050</xdr:colOff>
      <xdr:row>20</xdr:row>
      <xdr:rowOff>157163</xdr:rowOff>
    </xdr:to>
    <xdr:cxnSp macro="">
      <xdr:nvCxnSpPr>
        <xdr:cNvPr id="12" name="Conector recto de flecha 11">
          <a:extLst>
            <a:ext uri="{FF2B5EF4-FFF2-40B4-BE49-F238E27FC236}">
              <a16:creationId xmlns:a16="http://schemas.microsoft.com/office/drawing/2014/main" id="{09D857A9-8C21-42F8-AFC5-F451F541AB74}"/>
            </a:ext>
          </a:extLst>
        </xdr:cNvPr>
        <xdr:cNvCxnSpPr>
          <a:cxnSpLocks/>
        </xdr:cNvCxnSpPr>
      </xdr:nvCxnSpPr>
      <xdr:spPr>
        <a:xfrm>
          <a:off x="5857875" y="3471863"/>
          <a:ext cx="17145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476250</xdr:colOff>
      <xdr:row>11</xdr:row>
      <xdr:rowOff>0</xdr:rowOff>
    </xdr:from>
    <xdr:to>
      <xdr:col>8</xdr:col>
      <xdr:colOff>476250</xdr:colOff>
      <xdr:row>20</xdr:row>
      <xdr:rowOff>9525</xdr:rowOff>
    </xdr:to>
    <xdr:cxnSp macro="">
      <xdr:nvCxnSpPr>
        <xdr:cNvPr id="16" name="Conector recto de flecha 15">
          <a:extLst>
            <a:ext uri="{FF2B5EF4-FFF2-40B4-BE49-F238E27FC236}">
              <a16:creationId xmlns:a16="http://schemas.microsoft.com/office/drawing/2014/main" id="{9941EED9-0EFA-4F68-AD49-8D40B08B6725}"/>
            </a:ext>
          </a:extLst>
        </xdr:cNvPr>
        <xdr:cNvCxnSpPr>
          <a:cxnSpLocks/>
        </xdr:cNvCxnSpPr>
      </xdr:nvCxnSpPr>
      <xdr:spPr>
        <a:xfrm flipV="1">
          <a:off x="5705475" y="1600200"/>
          <a:ext cx="0" cy="1724025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17</xdr:col>
      <xdr:colOff>171450</xdr:colOff>
      <xdr:row>10</xdr:row>
      <xdr:rowOff>47626</xdr:rowOff>
    </xdr:from>
    <xdr:to>
      <xdr:col>19</xdr:col>
      <xdr:colOff>419100</xdr:colOff>
      <xdr:row>20</xdr:row>
      <xdr:rowOff>138656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2B59F57-9BBB-4CA0-801A-D02BBC01F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0048875" y="1457326"/>
          <a:ext cx="1409700" cy="19960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26092-05B0-435A-8E0B-6462C3F0EAEA}">
  <dimension ref="A1:U308"/>
  <sheetViews>
    <sheetView showGridLines="0" showRowColHeaders="0" tabSelected="1" zoomScaleNormal="100" workbookViewId="0">
      <pane ySplit="9" topLeftCell="A10" activePane="bottomLeft" state="frozen"/>
      <selection pane="bottomLeft" activeCell="D2" sqref="D2"/>
    </sheetView>
  </sheetViews>
  <sheetFormatPr baseColWidth="10" defaultColWidth="8.7109375" defaultRowHeight="15" x14ac:dyDescent="0.25"/>
  <cols>
    <col min="1" max="10" width="8.7109375" style="19"/>
    <col min="11" max="11" width="8.7109375" style="26"/>
    <col min="12" max="12" width="8.7109375" style="19" customWidth="1"/>
    <col min="13" max="14" width="8.7109375" style="19"/>
    <col min="15" max="16" width="8.7109375" style="19" customWidth="1"/>
    <col min="17" max="16384" width="8.7109375" style="19"/>
  </cols>
  <sheetData>
    <row r="1" spans="1:21" s="14" customFormat="1" ht="5.0999999999999996" customHeight="1" x14ac:dyDescent="0.25">
      <c r="A1" s="1"/>
      <c r="B1" s="1"/>
      <c r="K1" s="15"/>
    </row>
    <row r="2" spans="1:21" s="14" customFormat="1" ht="15.75" thickBot="1" x14ac:dyDescent="0.3">
      <c r="A2" s="1"/>
      <c r="B2" s="1"/>
      <c r="C2" s="5" t="s">
        <v>9</v>
      </c>
      <c r="D2" s="6" t="s">
        <v>13</v>
      </c>
      <c r="E2" s="4"/>
      <c r="F2" s="9" t="s">
        <v>2</v>
      </c>
      <c r="G2" s="8">
        <v>4.8</v>
      </c>
      <c r="H2" s="3" t="s">
        <v>1</v>
      </c>
      <c r="I2" s="12" t="s">
        <v>12</v>
      </c>
      <c r="J2" s="13">
        <v>0.05</v>
      </c>
      <c r="K2" s="2"/>
      <c r="L2" s="39" t="s">
        <v>24</v>
      </c>
      <c r="M2" s="40"/>
      <c r="N2" s="41" t="s">
        <v>23</v>
      </c>
      <c r="O2" s="42"/>
      <c r="R2" s="44" t="s">
        <v>28</v>
      </c>
      <c r="S2" s="44"/>
    </row>
    <row r="3" spans="1:21" s="14" customFormat="1" ht="5.0999999999999996" customHeight="1" x14ac:dyDescent="0.25">
      <c r="A3" s="1"/>
      <c r="B3" s="1"/>
      <c r="E3" s="4"/>
      <c r="F3" s="9"/>
      <c r="G3" s="16"/>
      <c r="K3" s="2"/>
      <c r="O3" s="38"/>
    </row>
    <row r="4" spans="1:21" s="14" customFormat="1" ht="15.75" thickBot="1" x14ac:dyDescent="0.3">
      <c r="A4" s="1"/>
      <c r="B4" s="1"/>
      <c r="C4" s="7" t="s">
        <v>16</v>
      </c>
      <c r="D4" s="8">
        <v>45</v>
      </c>
      <c r="E4" s="3" t="s">
        <v>0</v>
      </c>
      <c r="F4" s="9" t="s">
        <v>3</v>
      </c>
      <c r="G4" s="17">
        <f>IFERROR(IF(G8="","",ROUND(SQRT((MAX(G2,G6)-MIN(G2,G6))^2+G8^2),2)),"")</f>
        <v>4.54</v>
      </c>
      <c r="H4" s="3" t="s">
        <v>1</v>
      </c>
      <c r="I4" s="12" t="s">
        <v>15</v>
      </c>
      <c r="J4" s="34">
        <v>7</v>
      </c>
      <c r="K4" s="2"/>
      <c r="L4" s="12" t="s">
        <v>18</v>
      </c>
      <c r="M4" s="37">
        <v>25</v>
      </c>
      <c r="N4" s="3" t="s">
        <v>19</v>
      </c>
      <c r="O4" s="5" t="s">
        <v>20</v>
      </c>
      <c r="P4" s="17" t="str">
        <f>IFERROR(IF((D4*D6)&lt;=900,"8x8mm",IF(D4*D6&gt;=3600,"12x12mm","10x10mm")),"")</f>
        <v>10x10mm</v>
      </c>
      <c r="Q4" s="45" t="str">
        <f>IF(P4="8x8mm","H",IF(P4="10x10mm","A",IF(P4="12x12mm","Y","")))</f>
        <v>A</v>
      </c>
      <c r="R4" s="12" t="s">
        <v>18</v>
      </c>
      <c r="S4" s="37">
        <v>1</v>
      </c>
      <c r="T4" s="3" t="s">
        <v>19</v>
      </c>
      <c r="U4" s="34">
        <v>10.5</v>
      </c>
    </row>
    <row r="5" spans="1:21" s="14" customFormat="1" ht="5.0999999999999996" customHeight="1" x14ac:dyDescent="0.25">
      <c r="A5" s="1"/>
      <c r="B5" s="1"/>
      <c r="D5" s="16"/>
      <c r="E5" s="4"/>
      <c r="F5" s="10"/>
      <c r="G5" s="16"/>
      <c r="K5" s="2"/>
      <c r="O5" s="38"/>
      <c r="Q5" s="46"/>
    </row>
    <row r="6" spans="1:21" s="14" customFormat="1" ht="15.75" thickBot="1" x14ac:dyDescent="0.3">
      <c r="A6" s="1"/>
      <c r="B6" s="1"/>
      <c r="C6" s="7" t="s">
        <v>17</v>
      </c>
      <c r="D6" s="8">
        <v>45</v>
      </c>
      <c r="E6" s="3" t="s">
        <v>0</v>
      </c>
      <c r="F6" s="9" t="s">
        <v>4</v>
      </c>
      <c r="G6" s="8">
        <v>4.2</v>
      </c>
      <c r="H6" s="3" t="s">
        <v>1</v>
      </c>
      <c r="I6" s="12" t="s">
        <v>14</v>
      </c>
      <c r="J6" s="34">
        <v>27.9</v>
      </c>
      <c r="K6" s="2"/>
      <c r="L6" s="5" t="s">
        <v>22</v>
      </c>
      <c r="M6" s="34">
        <v>34.9</v>
      </c>
      <c r="O6" s="5" t="s">
        <v>21</v>
      </c>
      <c r="P6" s="8" t="s">
        <v>25</v>
      </c>
      <c r="Q6" s="46"/>
      <c r="R6" s="44" t="s">
        <v>29</v>
      </c>
    </row>
    <row r="7" spans="1:21" s="14" customFormat="1" ht="5.0999999999999996" customHeight="1" x14ac:dyDescent="0.25">
      <c r="A7" s="1"/>
      <c r="B7" s="1"/>
      <c r="D7" s="16"/>
      <c r="E7" s="4"/>
      <c r="F7" s="10"/>
      <c r="G7" s="16"/>
      <c r="K7" s="2"/>
      <c r="O7" s="38"/>
      <c r="Q7" s="46"/>
    </row>
    <row r="8" spans="1:21" s="14" customFormat="1" ht="15.75" thickBot="1" x14ac:dyDescent="0.3">
      <c r="A8" s="1"/>
      <c r="B8" s="1"/>
      <c r="C8" s="7" t="s">
        <v>10</v>
      </c>
      <c r="D8" s="8">
        <v>4</v>
      </c>
      <c r="E8" s="3" t="s">
        <v>11</v>
      </c>
      <c r="F8" s="9" t="s">
        <v>5</v>
      </c>
      <c r="G8" s="8">
        <v>4.5</v>
      </c>
      <c r="H8" s="3" t="s">
        <v>1</v>
      </c>
      <c r="I8" s="60" t="s">
        <v>27</v>
      </c>
      <c r="J8" s="61">
        <f>IFERROR(ROUNDUP((MIN(G2,G6)*G8)+((MAX(G2,G6)-MIN(G2,G6))*G8)/2,2),"")</f>
        <v>20.25</v>
      </c>
      <c r="K8" s="2"/>
      <c r="L8" s="12" t="s">
        <v>12</v>
      </c>
      <c r="M8" s="13">
        <v>0.05</v>
      </c>
      <c r="O8" s="5" t="s">
        <v>32</v>
      </c>
      <c r="P8" s="8" t="s">
        <v>26</v>
      </c>
      <c r="Q8" s="45">
        <f>IF(P8="nivelado",1,IF(P8="desnivelado",2,""))</f>
        <v>1</v>
      </c>
      <c r="R8" s="5" t="s">
        <v>30</v>
      </c>
      <c r="S8" s="37">
        <v>1</v>
      </c>
      <c r="T8" s="3" t="s">
        <v>31</v>
      </c>
      <c r="U8" s="34">
        <v>8.5</v>
      </c>
    </row>
    <row r="9" spans="1:21" s="18" customFormat="1" x14ac:dyDescent="0.25">
      <c r="A9" s="32" t="s">
        <v>8</v>
      </c>
      <c r="B9" s="32"/>
      <c r="E9" s="11"/>
      <c r="K9" s="11"/>
    </row>
    <row r="10" spans="1:21" x14ac:dyDescent="0.25">
      <c r="I10" s="20"/>
      <c r="J10" s="20"/>
      <c r="K10" s="21"/>
    </row>
    <row r="11" spans="1:21" x14ac:dyDescent="0.25">
      <c r="B11" s="22">
        <v>0</v>
      </c>
      <c r="C11" s="22">
        <v>0</v>
      </c>
      <c r="E11" s="23">
        <f>IFERROR((MAX(G2,G6))-(D4/100)*G153,0)</f>
        <v>0.75</v>
      </c>
      <c r="F11" s="24">
        <f>IFERROR((MAX(G8,G4))-(D6/100)*J153,0)</f>
        <v>4.0000000000000036E-2</v>
      </c>
      <c r="I11" s="20"/>
      <c r="J11" s="21"/>
      <c r="K11" s="19"/>
    </row>
    <row r="12" spans="1:21" x14ac:dyDescent="0.25">
      <c r="B12" s="22">
        <f>IF(G8="",0,0)</f>
        <v>0</v>
      </c>
      <c r="C12" s="22">
        <f>IF(G8="",0,G8)</f>
        <v>4.5</v>
      </c>
      <c r="E12" s="23">
        <f>IF(E11=1/2*(D4/100),ROUNDUP(J153/2,0),0)</f>
        <v>0</v>
      </c>
      <c r="F12" s="24">
        <f>IF(F11=1/2*(D6/100),ROUNDUP(G153/2,0),0)</f>
        <v>0</v>
      </c>
      <c r="I12" s="20"/>
      <c r="J12" s="21"/>
      <c r="K12" s="19"/>
    </row>
    <row r="13" spans="1:21" x14ac:dyDescent="0.25">
      <c r="B13" s="22"/>
      <c r="C13" s="22"/>
      <c r="E13" s="23">
        <f>IF(E11&gt;1/2*(D4/100),J153,0)</f>
        <v>10</v>
      </c>
      <c r="F13" s="24">
        <f>IF(F11&gt;1/2*(D6/100),G153,0)</f>
        <v>0</v>
      </c>
      <c r="I13" s="20"/>
      <c r="J13" s="21"/>
      <c r="K13" s="19"/>
    </row>
    <row r="14" spans="1:21" x14ac:dyDescent="0.25">
      <c r="B14" s="22">
        <v>0</v>
      </c>
      <c r="C14" s="22">
        <v>0</v>
      </c>
      <c r="E14" s="23">
        <f>IF(E11&lt;1/2*(D4/100),ROUNDUP(J153/2,0),0)</f>
        <v>0</v>
      </c>
      <c r="F14" s="24">
        <f>IF(F11&lt;1/2*(D6/100),ROUNDUP(G153/2,0),0)</f>
        <v>5</v>
      </c>
      <c r="I14" s="20"/>
      <c r="J14" s="21"/>
      <c r="K14" s="19"/>
    </row>
    <row r="15" spans="1:21" x14ac:dyDescent="0.25">
      <c r="B15" s="22">
        <f>IF(G2="",0,G2)</f>
        <v>4.8</v>
      </c>
      <c r="C15" s="22">
        <f>IF(G2="",0,0)</f>
        <v>0</v>
      </c>
      <c r="I15" s="20"/>
      <c r="J15" s="21"/>
      <c r="K15" s="25">
        <f>IFERROR(ROUNDUP(G153*J153+SUM(E11:E14)+SUM(F11:F14),0),"")</f>
        <v>106</v>
      </c>
      <c r="R15" s="19">
        <f>IF(Q8=1,R16,IF(Q8=2,R17,0))</f>
        <v>6.8</v>
      </c>
    </row>
    <row r="16" spans="1:21" x14ac:dyDescent="0.25">
      <c r="B16" s="22"/>
      <c r="C16" s="22"/>
      <c r="I16" s="35">
        <f>IFERROR(IF(D6="","",D6),"")</f>
        <v>45</v>
      </c>
      <c r="J16" s="21"/>
      <c r="K16" s="24">
        <f>IFERROR(ROUNDUP(K15*J2,0),0)</f>
        <v>6</v>
      </c>
      <c r="R16" s="19">
        <f>IFERROR(IF(P6="simple",S16*1,IF(P6="doble",S16*2,0)),"")</f>
        <v>6.8</v>
      </c>
      <c r="S16" s="19">
        <f>IF(Q4="h",5.44,IF(Q4="a",6.8,IF(Q4="y",8.16,"")))</f>
        <v>6.8</v>
      </c>
    </row>
    <row r="17" spans="2:20" x14ac:dyDescent="0.25">
      <c r="B17" s="22">
        <f>IF(G4="",0,B15)</f>
        <v>4.8</v>
      </c>
      <c r="C17" s="22">
        <f>IF(G4="",0,C15)</f>
        <v>0</v>
      </c>
      <c r="J17" s="21"/>
      <c r="K17" s="19"/>
      <c r="R17" s="19">
        <f>IFERROR(IF(P6="simple",S17*1,IF(P6="doble",S17*2,0)),"")</f>
        <v>12.24</v>
      </c>
      <c r="S17" s="19">
        <f>IF(Q4="h",9.792,IF(Q4="a",12.24,IF(Q4="y",14.688,"")))</f>
        <v>12.24</v>
      </c>
    </row>
    <row r="18" spans="2:20" x14ac:dyDescent="0.25">
      <c r="B18" s="22">
        <f>IF(G6="",0,G6)</f>
        <v>4.2</v>
      </c>
      <c r="C18" s="22">
        <f>IF(G8="",0,G8)</f>
        <v>4.5</v>
      </c>
      <c r="I18" s="20"/>
      <c r="J18" s="21"/>
      <c r="K18" s="19"/>
    </row>
    <row r="19" spans="2:20" x14ac:dyDescent="0.25">
      <c r="B19" s="22"/>
      <c r="C19" s="22"/>
      <c r="I19" s="20"/>
      <c r="J19" s="21"/>
      <c r="K19" s="19"/>
    </row>
    <row r="20" spans="2:20" x14ac:dyDescent="0.25">
      <c r="B20" s="22">
        <f>IF(G6="",0,B12)</f>
        <v>0</v>
      </c>
      <c r="C20" s="22">
        <f>IF(G6="",0,C12)</f>
        <v>4.5</v>
      </c>
      <c r="I20" s="20"/>
      <c r="J20" s="21"/>
      <c r="K20" s="19"/>
    </row>
    <row r="21" spans="2:20" x14ac:dyDescent="0.25">
      <c r="B21" s="22">
        <f>IF(G6="",0,B18)</f>
        <v>4.2</v>
      </c>
      <c r="C21" s="22">
        <f>IF(G8="",0,G8)</f>
        <v>4.5</v>
      </c>
      <c r="I21" s="20"/>
      <c r="J21" s="21"/>
      <c r="K21" s="19"/>
      <c r="L21" s="26"/>
    </row>
    <row r="22" spans="2:20" x14ac:dyDescent="0.25">
      <c r="I22" s="20"/>
      <c r="J22" s="21"/>
      <c r="K22" s="27">
        <f>IFERROR(IF(D4="","",D4),"")</f>
        <v>45</v>
      </c>
      <c r="N22" s="33">
        <f>IFERROR(IF(D8="","",D8),"")</f>
        <v>4</v>
      </c>
      <c r="O22" s="33"/>
      <c r="P22" s="33"/>
      <c r="R22" s="43">
        <f>IFERROR(IF(M4="","",M4),"")</f>
        <v>25</v>
      </c>
      <c r="S22" s="43"/>
      <c r="T22" s="43"/>
    </row>
    <row r="23" spans="2:20" x14ac:dyDescent="0.25">
      <c r="I23" s="20"/>
      <c r="J23" s="58"/>
      <c r="K23" s="59">
        <f>IFERROR(IF(G8="","",ROUNDUP(G153*J153+SUM(E11:E14)+SUM(F11:F14)+K16,0)),"")</f>
        <v>112</v>
      </c>
      <c r="L23" s="24"/>
      <c r="M23" s="24"/>
      <c r="N23" s="24"/>
      <c r="O23" s="59">
        <f>IFERROR(ROUNDUP(K23/D8,0),"")</f>
        <v>28</v>
      </c>
      <c r="P23" s="24"/>
      <c r="Q23" s="24"/>
      <c r="R23" s="24"/>
      <c r="S23" s="59">
        <f>IFERROR(IF(M4="","",ROUNDUP((R15*J8)/M4,0)+S25),"")</f>
        <v>7</v>
      </c>
      <c r="T23" s="24"/>
    </row>
    <row r="24" spans="2:20" x14ac:dyDescent="0.25">
      <c r="J24" s="36" t="str">
        <f>IF(D6="","","Resumen requerido de materiales para un área de "&amp;J8&amp;"m²")</f>
        <v>Resumen requerido de materiales para un área de 20.25m²</v>
      </c>
      <c r="S24" s="24">
        <f>IFERROR(IF(M4="","",ROUNDUP((R15*J8)/M4,0)),"")</f>
        <v>6</v>
      </c>
    </row>
    <row r="25" spans="2:20" x14ac:dyDescent="0.25">
      <c r="S25" s="24">
        <f>IFERROR(ROUNDUP(S24*M8,0),0)</f>
        <v>1</v>
      </c>
    </row>
    <row r="26" spans="2:20" x14ac:dyDescent="0.25">
      <c r="J26" s="48" t="str">
        <f>IF(J24="","","MATERIAL")</f>
        <v>MATERIAL</v>
      </c>
      <c r="K26" s="48"/>
      <c r="L26" s="49" t="str">
        <f>IF(J24="","","CANT.")</f>
        <v>CANT.</v>
      </c>
      <c r="M26" s="49" t="str">
        <f>IF(J24="","","UNID.")</f>
        <v>UNID.</v>
      </c>
      <c r="N26" s="49" t="str">
        <f>IF(J24="","","DETALLES")</f>
        <v>DETALLES</v>
      </c>
      <c r="O26" s="50" t="str">
        <f>IF(J24="","","C/U")</f>
        <v>C/U</v>
      </c>
      <c r="P26" s="49" t="str">
        <f>IF(J24="","","C/PARCIAL")</f>
        <v>C/PARCIAL</v>
      </c>
    </row>
    <row r="27" spans="2:20" ht="15" customHeight="1" x14ac:dyDescent="0.25">
      <c r="J27" s="51" t="str">
        <f>IFERROR(IF(D2="","",D2),"")</f>
        <v>porcelanato</v>
      </c>
      <c r="K27" s="51"/>
      <c r="L27" s="52">
        <f>IFERROR(IF(D8="",K23,O23),"")</f>
        <v>28</v>
      </c>
      <c r="M27" s="53" t="str">
        <f>IFERROR(IF(L27="","",IF(D8="","piezas","cajas")),"")</f>
        <v>cajas</v>
      </c>
      <c r="N27" s="54">
        <f>IF(M27="","",D8)</f>
        <v>4</v>
      </c>
      <c r="O27" s="55">
        <f>IF(L27="","",IF(D8="",J4,J6))</f>
        <v>27.9</v>
      </c>
      <c r="P27" s="55">
        <f>IF(L27="","",L27*O27)</f>
        <v>781.19999999999993</v>
      </c>
    </row>
    <row r="28" spans="2:20" ht="15" customHeight="1" x14ac:dyDescent="0.25">
      <c r="J28" s="51" t="str">
        <f>IFERROR(IF(R22="","","pegamento"),"")</f>
        <v>pegamento</v>
      </c>
      <c r="K28" s="51"/>
      <c r="L28" s="56">
        <f>IFERROR(IF(R22="","",S23),"")</f>
        <v>7</v>
      </c>
      <c r="M28" s="53" t="str">
        <f>IFERROR(IF(L28="","","bolsas"),"")</f>
        <v>bolsas</v>
      </c>
      <c r="N28" s="57">
        <f>IF(M28="","",M4)</f>
        <v>25</v>
      </c>
      <c r="O28" s="55">
        <f>IF(L28="","",M6)</f>
        <v>34.9</v>
      </c>
      <c r="P28" s="55">
        <f t="shared" ref="P28:P30" si="0">IF(L28="","",L28*O28)</f>
        <v>244.29999999999998</v>
      </c>
    </row>
    <row r="29" spans="2:20" x14ac:dyDescent="0.25">
      <c r="J29" s="51" t="str">
        <f>IFERROR(IF(R22="","","fragua"),"")</f>
        <v>fragua</v>
      </c>
      <c r="K29" s="51"/>
      <c r="L29" s="56">
        <f>IFERROR(IF(R22="","",(ROUNDUP(J8/(3/S4),0))),"")</f>
        <v>7</v>
      </c>
      <c r="M29" s="53" t="str">
        <f>IFERROR(IF(L29="","","bolsas"),"")</f>
        <v>bolsas</v>
      </c>
      <c r="N29" s="57">
        <f>IF(M29="","",S4)</f>
        <v>1</v>
      </c>
      <c r="O29" s="55">
        <f>IF(L29="","",U4)</f>
        <v>10.5</v>
      </c>
      <c r="P29" s="55">
        <f t="shared" si="0"/>
        <v>73.5</v>
      </c>
    </row>
    <row r="30" spans="2:20" x14ac:dyDescent="0.25">
      <c r="J30" s="51" t="str">
        <f>IFERROR(IF(R22="","","crucetas"),"")</f>
        <v>crucetas</v>
      </c>
      <c r="K30" s="51"/>
      <c r="L30" s="56">
        <f>IFERROR(IF(R22="","",S8),"")</f>
        <v>1</v>
      </c>
      <c r="M30" s="53" t="str">
        <f t="shared" ref="M29:M30" si="1">IFERROR(IF(L30="","","bolsas"),"")</f>
        <v>bolsas</v>
      </c>
      <c r="N30" s="57" t="str">
        <f>IF(M30="","","-")</f>
        <v>-</v>
      </c>
      <c r="O30" s="55">
        <f>IF(L30="","",U8)</f>
        <v>8.5</v>
      </c>
      <c r="P30" s="55">
        <f t="shared" si="0"/>
        <v>8.5</v>
      </c>
    </row>
    <row r="31" spans="2:20" x14ac:dyDescent="0.25">
      <c r="K31" s="19"/>
      <c r="O31" s="47">
        <f>IFERROR(IF(R22="","",SUM(P27:P30)),"")</f>
        <v>1107.5</v>
      </c>
      <c r="P31" s="47"/>
      <c r="T31" s="26"/>
    </row>
    <row r="150" spans="5:13" s="28" customFormat="1" x14ac:dyDescent="0.25">
      <c r="G150" s="29">
        <f>IFERROR(ROUNDUP((MAX(G2,G6))/(D4/100),0),0)</f>
        <v>11</v>
      </c>
      <c r="H150" s="29"/>
      <c r="I150" s="29"/>
      <c r="J150" s="29">
        <f>IFERROR(ROUNDUP(G8/(D6/100),0),0)</f>
        <v>10</v>
      </c>
      <c r="K150" s="29"/>
    </row>
    <row r="151" spans="5:13" s="28" customFormat="1" x14ac:dyDescent="0.25">
      <c r="G151" s="30" t="s">
        <v>6</v>
      </c>
      <c r="J151" s="30" t="s">
        <v>7</v>
      </c>
      <c r="K151" s="29"/>
    </row>
    <row r="152" spans="5:13" s="28" customFormat="1" x14ac:dyDescent="0.25">
      <c r="G152" s="29">
        <f>IFERROR(ROUND((MIN(G2,G6))/(D4/100),2),0)</f>
        <v>9.33</v>
      </c>
      <c r="J152" s="29">
        <f>IFERROR(ROUND(G8/(D6/100),2),0)</f>
        <v>10</v>
      </c>
      <c r="K152" s="29"/>
    </row>
    <row r="153" spans="5:13" s="28" customFormat="1" x14ac:dyDescent="0.25">
      <c r="G153" s="29">
        <f>INT(G152)</f>
        <v>9</v>
      </c>
      <c r="J153" s="29">
        <f>INT(J152)</f>
        <v>10</v>
      </c>
      <c r="K153" s="29"/>
    </row>
    <row r="154" spans="5:13" s="28" customFormat="1" x14ac:dyDescent="0.25">
      <c r="G154" s="29">
        <f>G152-G153</f>
        <v>0.33000000000000007</v>
      </c>
      <c r="J154" s="29">
        <f>J152-J153</f>
        <v>0</v>
      </c>
      <c r="K154" s="29"/>
      <c r="M154" s="29"/>
    </row>
    <row r="155" spans="5:13" s="28" customFormat="1" x14ac:dyDescent="0.25">
      <c r="G155" s="29">
        <v>100</v>
      </c>
      <c r="J155" s="29">
        <v>100</v>
      </c>
      <c r="K155" s="29"/>
    </row>
    <row r="156" spans="5:13" s="28" customFormat="1" x14ac:dyDescent="0.25">
      <c r="E156" s="28">
        <v>0</v>
      </c>
      <c r="G156" s="29">
        <v>0</v>
      </c>
      <c r="H156" s="28">
        <v>0</v>
      </c>
      <c r="I156" s="28">
        <v>0</v>
      </c>
      <c r="J156" s="29">
        <v>0</v>
      </c>
      <c r="K156" s="29">
        <f>IFERROR(IF(E156&lt;=$J$150,E156,""),"")</f>
        <v>0</v>
      </c>
    </row>
    <row r="157" spans="5:13" s="28" customFormat="1" x14ac:dyDescent="0.25">
      <c r="G157" s="29">
        <v>0</v>
      </c>
      <c r="H157" s="28">
        <f>IF(OR(G4="",G8=""),0,($D$6/100)*$J$150)</f>
        <v>4.5</v>
      </c>
      <c r="I157" s="28">
        <f>IF(OR(G2="",G6=""),0,($D$4/100)*$G$150)</f>
        <v>4.95</v>
      </c>
      <c r="J157" s="29">
        <v>0</v>
      </c>
      <c r="K157" s="29"/>
    </row>
    <row r="158" spans="5:13" s="28" customFormat="1" x14ac:dyDescent="0.25">
      <c r="G158" s="29"/>
      <c r="J158" s="29"/>
      <c r="K158" s="29"/>
    </row>
    <row r="159" spans="5:13" s="28" customFormat="1" x14ac:dyDescent="0.25">
      <c r="E159" s="28">
        <v>1</v>
      </c>
      <c r="F159" s="29">
        <f>IFERROR(IF(E159&lt;=$G$150,E159,""),"")</f>
        <v>1</v>
      </c>
      <c r="G159" s="29">
        <f>IFERROR(IF(F159="",0,($D$4/$G$155)*F159),0)</f>
        <v>0.45</v>
      </c>
      <c r="H159" s="28">
        <v>0</v>
      </c>
      <c r="I159" s="28">
        <v>0</v>
      </c>
      <c r="J159" s="29">
        <f>IFERROR(IF(K159="",0,($D$6/$J$155)*K159),0)</f>
        <v>0.45</v>
      </c>
      <c r="K159" s="29">
        <f>IFERROR(IF(E159&lt;=$J$150,E159,""),"")</f>
        <v>1</v>
      </c>
    </row>
    <row r="160" spans="5:13" s="28" customFormat="1" x14ac:dyDescent="0.25">
      <c r="F160" s="29"/>
      <c r="G160" s="29">
        <f>G159</f>
        <v>0.45</v>
      </c>
      <c r="H160" s="28">
        <f>IF(F159="",0,($D$6/100)*$J$150)</f>
        <v>4.5</v>
      </c>
      <c r="I160" s="28">
        <f>IF(K159="",0,($D$4/100)*$G$150)</f>
        <v>4.95</v>
      </c>
      <c r="J160" s="29">
        <f>J159</f>
        <v>0.45</v>
      </c>
      <c r="K160" s="29"/>
    </row>
    <row r="161" spans="5:15" s="28" customFormat="1" x14ac:dyDescent="0.25">
      <c r="F161" s="29"/>
      <c r="G161" s="29"/>
      <c r="J161" s="29"/>
      <c r="K161" s="29"/>
    </row>
    <row r="162" spans="5:15" s="28" customFormat="1" x14ac:dyDescent="0.25">
      <c r="E162" s="28">
        <v>2</v>
      </c>
      <c r="F162" s="29">
        <f>IFERROR(IF(E162&lt;=$G$150,E162,""),"")</f>
        <v>2</v>
      </c>
      <c r="G162" s="29">
        <f>IFERROR(IF(F162="",0,($D$4/$G$155)*F162),0)</f>
        <v>0.9</v>
      </c>
      <c r="H162" s="28">
        <v>0</v>
      </c>
      <c r="I162" s="28">
        <v>0</v>
      </c>
      <c r="J162" s="29">
        <f>IFERROR(IF(K162="",0,($D$6/$J$155)*K162),0)</f>
        <v>0.9</v>
      </c>
      <c r="K162" s="29">
        <f>IFERROR(IF(E162&lt;=$J$150,E162,""),"")</f>
        <v>2</v>
      </c>
    </row>
    <row r="163" spans="5:15" s="28" customFormat="1" x14ac:dyDescent="0.25">
      <c r="F163" s="29"/>
      <c r="G163" s="29">
        <f>G162</f>
        <v>0.9</v>
      </c>
      <c r="H163" s="28">
        <f>IF(F162="",0,($D$6/100)*$J$150)</f>
        <v>4.5</v>
      </c>
      <c r="I163" s="28">
        <f>IF(K162="",0,($D$4/100)*$G$150)</f>
        <v>4.95</v>
      </c>
      <c r="J163" s="29">
        <f>J162</f>
        <v>0.9</v>
      </c>
      <c r="K163" s="29"/>
    </row>
    <row r="164" spans="5:15" s="28" customFormat="1" x14ac:dyDescent="0.25">
      <c r="F164" s="29"/>
      <c r="G164" s="29"/>
      <c r="J164" s="29"/>
      <c r="K164" s="29"/>
    </row>
    <row r="165" spans="5:15" s="28" customFormat="1" x14ac:dyDescent="0.25">
      <c r="E165" s="28">
        <v>3</v>
      </c>
      <c r="F165" s="29">
        <f>IFERROR(IF(E165&lt;=$G$150,E165,""),"")</f>
        <v>3</v>
      </c>
      <c r="G165" s="29">
        <f>IFERROR(IF(F165="",0,($D$4/$G$155)*F165),0)</f>
        <v>1.35</v>
      </c>
      <c r="H165" s="28">
        <v>0</v>
      </c>
      <c r="I165" s="28">
        <v>0</v>
      </c>
      <c r="J165" s="29">
        <f>IFERROR(IF(K165="",0,($D$6/$J$155)*K165),0)</f>
        <v>1.35</v>
      </c>
      <c r="K165" s="29">
        <f>IFERROR(IF(E165&lt;=$J$150,E165,""),"")</f>
        <v>3</v>
      </c>
    </row>
    <row r="166" spans="5:15" s="28" customFormat="1" x14ac:dyDescent="0.25">
      <c r="F166" s="29"/>
      <c r="G166" s="29">
        <f>G165</f>
        <v>1.35</v>
      </c>
      <c r="H166" s="28">
        <f>IF(F165="",0,($D$6/100)*$J$150)</f>
        <v>4.5</v>
      </c>
      <c r="I166" s="28">
        <f>IF(K165="",0,($D$4/100)*$G$150)</f>
        <v>4.95</v>
      </c>
      <c r="J166" s="29">
        <f>J165</f>
        <v>1.35</v>
      </c>
      <c r="K166" s="29"/>
    </row>
    <row r="167" spans="5:15" s="28" customFormat="1" x14ac:dyDescent="0.25">
      <c r="F167" s="29"/>
      <c r="G167" s="29"/>
      <c r="J167" s="29"/>
      <c r="K167" s="29"/>
    </row>
    <row r="168" spans="5:15" s="28" customFormat="1" x14ac:dyDescent="0.25">
      <c r="E168" s="28">
        <v>4</v>
      </c>
      <c r="F168" s="29">
        <f>IFERROR(IF(E168&lt;=$G$150,E168,""),"")</f>
        <v>4</v>
      </c>
      <c r="G168" s="29">
        <f>IFERROR(IF(F168="",0,($D$4/$G$155)*F168),0)</f>
        <v>1.8</v>
      </c>
      <c r="H168" s="28">
        <v>0</v>
      </c>
      <c r="I168" s="28">
        <v>0</v>
      </c>
      <c r="J168" s="29">
        <f>IFERROR(IF(K168="",0,($D$6/$J$155)*K168),0)</f>
        <v>1.8</v>
      </c>
      <c r="K168" s="29">
        <f>IFERROR(IF(E168&lt;=$J$150,E168,""),"")</f>
        <v>4</v>
      </c>
    </row>
    <row r="169" spans="5:15" s="28" customFormat="1" x14ac:dyDescent="0.25">
      <c r="F169" s="29"/>
      <c r="G169" s="29">
        <f>G168</f>
        <v>1.8</v>
      </c>
      <c r="H169" s="28">
        <f>IF(F168="",0,($D$6/100)*$J$150)</f>
        <v>4.5</v>
      </c>
      <c r="I169" s="28">
        <f>IF(K168="",0,($D$4/100)*$G$150)</f>
        <v>4.95</v>
      </c>
      <c r="J169" s="29">
        <f>J168</f>
        <v>1.8</v>
      </c>
      <c r="K169" s="29"/>
    </row>
    <row r="170" spans="5:15" s="28" customFormat="1" x14ac:dyDescent="0.25">
      <c r="F170" s="29"/>
      <c r="G170" s="29"/>
      <c r="J170" s="29"/>
      <c r="K170" s="29"/>
      <c r="M170" s="29" t="str">
        <f>IF(G2="","","A")</f>
        <v>A</v>
      </c>
      <c r="N170" s="29">
        <v>0</v>
      </c>
      <c r="O170" s="29">
        <v>0</v>
      </c>
    </row>
    <row r="171" spans="5:15" s="28" customFormat="1" x14ac:dyDescent="0.25">
      <c r="E171" s="28">
        <v>5</v>
      </c>
      <c r="F171" s="29">
        <f>IFERROR(IF(E171&lt;=$G$150,E171,""),"")</f>
        <v>5</v>
      </c>
      <c r="G171" s="29">
        <f>IFERROR(IF(F171="",0,($D$4/$G$155)*F171),0)</f>
        <v>2.25</v>
      </c>
      <c r="H171" s="28">
        <v>0</v>
      </c>
      <c r="I171" s="28">
        <v>0</v>
      </c>
      <c r="J171" s="29">
        <f>IFERROR(IF(K171="",0,($D$6/$J$155)*K171),0)</f>
        <v>2.25</v>
      </c>
      <c r="K171" s="29">
        <f>IFERROR(IF(E171&lt;=$J$150,E171,""),"")</f>
        <v>5</v>
      </c>
      <c r="M171" s="29"/>
      <c r="N171" s="29"/>
      <c r="O171" s="29"/>
    </row>
    <row r="172" spans="5:15" s="28" customFormat="1" x14ac:dyDescent="0.25">
      <c r="F172" s="29"/>
      <c r="G172" s="29">
        <f>G171</f>
        <v>2.25</v>
      </c>
      <c r="H172" s="28">
        <f>IF(F171="",0,($D$6/100)*$J$150)</f>
        <v>4.5</v>
      </c>
      <c r="I172" s="28">
        <f>IF(K171="",0,($D$4/100)*$G$150)</f>
        <v>4.95</v>
      </c>
      <c r="J172" s="29">
        <f>J171</f>
        <v>2.25</v>
      </c>
      <c r="K172" s="29"/>
      <c r="M172" s="29" t="str">
        <f>IF(G2="","","B")</f>
        <v>B</v>
      </c>
      <c r="N172" s="29">
        <f>IF(M172="",0,G2)</f>
        <v>4.8</v>
      </c>
      <c r="O172" s="29">
        <v>0</v>
      </c>
    </row>
    <row r="173" spans="5:15" s="28" customFormat="1" x14ac:dyDescent="0.25">
      <c r="F173" s="29"/>
      <c r="G173" s="29"/>
      <c r="J173" s="29"/>
      <c r="K173" s="29"/>
      <c r="M173" s="29"/>
      <c r="N173" s="29"/>
      <c r="O173" s="29"/>
    </row>
    <row r="174" spans="5:15" s="28" customFormat="1" x14ac:dyDescent="0.25">
      <c r="E174" s="28">
        <v>6</v>
      </c>
      <c r="F174" s="29">
        <f>IFERROR(IF(E174&lt;=$G$150,E174,""),"")</f>
        <v>6</v>
      </c>
      <c r="G174" s="29">
        <f>IFERROR(IF(F174="",0,($D$4/$G$155)*F174),0)</f>
        <v>2.7</v>
      </c>
      <c r="H174" s="28">
        <v>0</v>
      </c>
      <c r="I174" s="28">
        <v>0</v>
      </c>
      <c r="J174" s="29">
        <f>IFERROR(IF(K174="",0,($D$6/$J$155)*K174),0)</f>
        <v>2.7</v>
      </c>
      <c r="K174" s="29">
        <f>IFERROR(IF(E174&lt;=$J$150,E174,""),"")</f>
        <v>6</v>
      </c>
      <c r="M174" s="29" t="str">
        <f>IF(G4="","","C")</f>
        <v>C</v>
      </c>
      <c r="N174" s="29">
        <f>IF(M174="",0,G6)</f>
        <v>4.2</v>
      </c>
      <c r="O174" s="29">
        <f>IF(M174="",0,G4)</f>
        <v>4.54</v>
      </c>
    </row>
    <row r="175" spans="5:15" s="28" customFormat="1" x14ac:dyDescent="0.25">
      <c r="F175" s="29"/>
      <c r="G175" s="29">
        <f>G174</f>
        <v>2.7</v>
      </c>
      <c r="H175" s="28">
        <f>IF(F174="",0,($D$6/100)*$J$150)</f>
        <v>4.5</v>
      </c>
      <c r="I175" s="28">
        <f>IF(K174="",0,($D$4/100)*$G$150)</f>
        <v>4.95</v>
      </c>
      <c r="J175" s="29">
        <f>J174</f>
        <v>2.7</v>
      </c>
      <c r="K175" s="29"/>
      <c r="M175" s="29"/>
      <c r="N175" s="29"/>
      <c r="O175" s="29"/>
    </row>
    <row r="176" spans="5:15" s="28" customFormat="1" x14ac:dyDescent="0.25">
      <c r="F176" s="29"/>
      <c r="G176" s="29"/>
      <c r="J176" s="29"/>
      <c r="K176" s="29"/>
      <c r="M176" s="29" t="str">
        <f>IF(G6="","","D")</f>
        <v>D</v>
      </c>
      <c r="N176" s="29">
        <v>0</v>
      </c>
      <c r="O176" s="29">
        <f>IF(M176="",0,G8)</f>
        <v>4.5</v>
      </c>
    </row>
    <row r="177" spans="5:15" s="28" customFormat="1" x14ac:dyDescent="0.25">
      <c r="E177" s="28">
        <v>7</v>
      </c>
      <c r="F177" s="29">
        <f>IFERROR(IF(E177&lt;=$G$150,E177,""),"")</f>
        <v>7</v>
      </c>
      <c r="G177" s="29">
        <f>IFERROR(IF(F177="",0,($D$4/$G$155)*F177),0)</f>
        <v>3.15</v>
      </c>
      <c r="H177" s="28">
        <v>0</v>
      </c>
      <c r="I177" s="28">
        <v>0</v>
      </c>
      <c r="J177" s="29">
        <f>IFERROR(IF(K177="",0,($D$6/$J$155)*K177),0)</f>
        <v>3.15</v>
      </c>
      <c r="K177" s="29">
        <f>IFERROR(IF(E177&lt;=$J$150,E177,""),"")</f>
        <v>7</v>
      </c>
    </row>
    <row r="178" spans="5:15" s="28" customFormat="1" x14ac:dyDescent="0.25">
      <c r="F178" s="29"/>
      <c r="G178" s="29">
        <f>G177</f>
        <v>3.15</v>
      </c>
      <c r="H178" s="28">
        <f>IF(F177="",0,($D$6/100)*$J$150)</f>
        <v>4.5</v>
      </c>
      <c r="I178" s="28">
        <f>IF(K177="",0,($D$4/100)*$G$150)</f>
        <v>4.95</v>
      </c>
      <c r="J178" s="29">
        <f>J177</f>
        <v>3.15</v>
      </c>
      <c r="K178" s="29"/>
      <c r="M178" s="31">
        <f>IF(M170="","",G2)</f>
        <v>4.8</v>
      </c>
      <c r="N178" s="29">
        <f>IF(M178="",0,G2/2)</f>
        <v>2.4</v>
      </c>
      <c r="O178" s="29">
        <v>0</v>
      </c>
    </row>
    <row r="179" spans="5:15" s="28" customFormat="1" x14ac:dyDescent="0.25">
      <c r="F179" s="29"/>
      <c r="G179" s="29"/>
      <c r="J179" s="29"/>
      <c r="K179" s="29"/>
    </row>
    <row r="180" spans="5:15" s="28" customFormat="1" x14ac:dyDescent="0.25">
      <c r="E180" s="28">
        <v>8</v>
      </c>
      <c r="F180" s="29">
        <f>IFERROR(IF(E180&lt;=$G$150,E180,""),"")</f>
        <v>8</v>
      </c>
      <c r="G180" s="29">
        <f>IFERROR(IF(F180="",0,($D$4/$G$155)*F180),0)</f>
        <v>3.6</v>
      </c>
      <c r="H180" s="28">
        <v>0</v>
      </c>
      <c r="I180" s="28">
        <v>0</v>
      </c>
      <c r="J180" s="29">
        <f>IFERROR(IF(K180="",0,($D$6/$J$155)*K180),0)</f>
        <v>3.6</v>
      </c>
      <c r="K180" s="29">
        <f>IFERROR(IF(E180&lt;=$J$150,E180,""),"")</f>
        <v>8</v>
      </c>
      <c r="M180" s="31">
        <f>IF(M172="","",G4)</f>
        <v>4.54</v>
      </c>
      <c r="N180" s="29">
        <f>IF(M180="",0,((((MAX($G$2,$G$6))-(MIN($G$2,$G$6)))*((MIN($G$4,$G$8))/2))/(MIN($G$4,$G$8)))+MIN($G$2,$G$6))</f>
        <v>4.5</v>
      </c>
      <c r="O180" s="29">
        <f>IF(M180="",0,G4/2)</f>
        <v>2.27</v>
      </c>
    </row>
    <row r="181" spans="5:15" s="28" customFormat="1" x14ac:dyDescent="0.25">
      <c r="F181" s="29"/>
      <c r="G181" s="29">
        <f>G180</f>
        <v>3.6</v>
      </c>
      <c r="H181" s="28">
        <f>IF(F180="",0,($D$6/100)*$J$150)</f>
        <v>4.5</v>
      </c>
      <c r="I181" s="28">
        <f>IF(K180="",0,($D$4/100)*$G$150)</f>
        <v>4.95</v>
      </c>
      <c r="J181" s="29">
        <f>J180</f>
        <v>3.6</v>
      </c>
      <c r="K181" s="29"/>
    </row>
    <row r="182" spans="5:15" s="28" customFormat="1" x14ac:dyDescent="0.25">
      <c r="F182" s="29"/>
      <c r="G182" s="29"/>
      <c r="J182" s="29"/>
      <c r="K182" s="29"/>
      <c r="M182" s="31">
        <f>IF(M174="","",G6)</f>
        <v>4.2</v>
      </c>
      <c r="N182" s="29">
        <f>IF(M182="",0,G6/2)</f>
        <v>2.1</v>
      </c>
      <c r="O182" s="29">
        <f>IF(M182="",0,((((MAX($G$4,$G$8))-(MIN($G$4,$G$8)))*((MIN($G$2,$G$6))/2))/(MIN($G$2,$G$6)))+MIN($G$4,$G$8))</f>
        <v>4.5199999999999996</v>
      </c>
    </row>
    <row r="183" spans="5:15" s="28" customFormat="1" x14ac:dyDescent="0.25">
      <c r="E183" s="28">
        <v>9</v>
      </c>
      <c r="F183" s="29">
        <f>IFERROR(IF(E183&lt;=$G$150,E183,""),"")</f>
        <v>9</v>
      </c>
      <c r="G183" s="29">
        <f>IFERROR(IF(F183="",0,($D$4/$G$155)*F183),0)</f>
        <v>4.05</v>
      </c>
      <c r="H183" s="28">
        <v>0</v>
      </c>
      <c r="I183" s="28">
        <v>0</v>
      </c>
      <c r="J183" s="29">
        <f>IFERROR(IF(K183="",0,($D$6/$J$155)*K183),0)</f>
        <v>4.05</v>
      </c>
      <c r="K183" s="29">
        <f>IFERROR(IF(E183&lt;=$J$150,E183,""),"")</f>
        <v>9</v>
      </c>
    </row>
    <row r="184" spans="5:15" s="28" customFormat="1" x14ac:dyDescent="0.25">
      <c r="F184" s="29"/>
      <c r="G184" s="29">
        <f>G183</f>
        <v>4.05</v>
      </c>
      <c r="H184" s="28">
        <f>IF(F183="",0,($D$6/100)*$J$150)</f>
        <v>4.5</v>
      </c>
      <c r="I184" s="28">
        <f>IF(K183="",0,($D$4/100)*$G$150)</f>
        <v>4.95</v>
      </c>
      <c r="J184" s="29">
        <f>J183</f>
        <v>4.05</v>
      </c>
      <c r="K184" s="29"/>
      <c r="M184" s="31">
        <f>IF(M176="","",G8)</f>
        <v>4.5</v>
      </c>
      <c r="N184" s="29">
        <v>0</v>
      </c>
      <c r="O184" s="29">
        <f>IF(M184="",0,G8/2)</f>
        <v>2.25</v>
      </c>
    </row>
    <row r="185" spans="5:15" s="28" customFormat="1" x14ac:dyDescent="0.25">
      <c r="F185" s="29"/>
      <c r="G185" s="29"/>
      <c r="J185" s="29"/>
      <c r="K185" s="29"/>
    </row>
    <row r="186" spans="5:15" s="28" customFormat="1" x14ac:dyDescent="0.25">
      <c r="E186" s="28">
        <v>10</v>
      </c>
      <c r="F186" s="29">
        <f>IFERROR(IF(E186&lt;=$G$150,E186,""),"")</f>
        <v>10</v>
      </c>
      <c r="G186" s="29">
        <f>IFERROR(IF(F186="",0,($D$4/$G$155)*F186),0)</f>
        <v>4.5</v>
      </c>
      <c r="H186" s="28">
        <v>0</v>
      </c>
      <c r="I186" s="28">
        <v>0</v>
      </c>
      <c r="J186" s="29">
        <f>IFERROR(IF(K186="",0,($D$6/$J$155)*K186),0)</f>
        <v>4.5</v>
      </c>
      <c r="K186" s="29">
        <f>IFERROR(IF(E186&lt;=$J$150,E186,""),"")</f>
        <v>10</v>
      </c>
    </row>
    <row r="187" spans="5:15" s="28" customFormat="1" x14ac:dyDescent="0.25">
      <c r="F187" s="29"/>
      <c r="G187" s="29">
        <f>G186</f>
        <v>4.5</v>
      </c>
      <c r="H187" s="28">
        <f>IF(F186="",0,($D$6/100)*$J$150)</f>
        <v>4.5</v>
      </c>
      <c r="I187" s="28">
        <f>IF(K186="",0,($D$4/100)*$G$150)</f>
        <v>4.95</v>
      </c>
      <c r="J187" s="29">
        <f>J186</f>
        <v>4.5</v>
      </c>
      <c r="K187" s="29"/>
    </row>
    <row r="188" spans="5:15" s="28" customFormat="1" x14ac:dyDescent="0.25">
      <c r="F188" s="29"/>
      <c r="G188" s="29"/>
      <c r="J188" s="29"/>
      <c r="K188" s="29"/>
    </row>
    <row r="189" spans="5:15" s="28" customFormat="1" x14ac:dyDescent="0.25">
      <c r="E189" s="28">
        <v>11</v>
      </c>
      <c r="F189" s="29">
        <f>IFERROR(IF(E189&lt;=$G$150,E189,""),"")</f>
        <v>11</v>
      </c>
      <c r="G189" s="29">
        <f>IFERROR(IF(F189="",0,($D$4/$G$155)*F189),0)</f>
        <v>4.95</v>
      </c>
      <c r="H189" s="28">
        <v>0</v>
      </c>
      <c r="I189" s="28">
        <v>0</v>
      </c>
      <c r="J189" s="29">
        <f>IFERROR(IF(K189="",0,($D$6/$J$155)*K189),0)</f>
        <v>0</v>
      </c>
      <c r="K189" s="29" t="str">
        <f>IFERROR(IF(E189&lt;=$J$150,E189,""),"")</f>
        <v/>
      </c>
    </row>
    <row r="190" spans="5:15" s="28" customFormat="1" x14ac:dyDescent="0.25">
      <c r="F190" s="29"/>
      <c r="G190" s="29">
        <f>G189</f>
        <v>4.95</v>
      </c>
      <c r="H190" s="28">
        <f>IF(F189="",0,($D$6/100)*$J$150)</f>
        <v>4.5</v>
      </c>
      <c r="I190" s="28">
        <f>IF(K189="",0,($D$4/100)*$G$150)</f>
        <v>0</v>
      </c>
      <c r="J190" s="29">
        <f>J189</f>
        <v>0</v>
      </c>
      <c r="K190" s="29"/>
    </row>
    <row r="191" spans="5:15" s="28" customFormat="1" x14ac:dyDescent="0.25">
      <c r="F191" s="29"/>
      <c r="G191" s="29"/>
      <c r="J191" s="29"/>
      <c r="K191" s="29"/>
    </row>
    <row r="192" spans="5:15" s="28" customFormat="1" x14ac:dyDescent="0.25">
      <c r="E192" s="28">
        <v>12</v>
      </c>
      <c r="F192" s="29" t="str">
        <f>IFERROR(IF(E192&lt;=$G$150,E192,""),"")</f>
        <v/>
      </c>
      <c r="G192" s="29">
        <f>IFERROR(IF(F192="",0,($D$4/$G$155)*F192),0)</f>
        <v>0</v>
      </c>
      <c r="H192" s="28">
        <v>0</v>
      </c>
      <c r="I192" s="28">
        <v>0</v>
      </c>
      <c r="J192" s="29">
        <f>IFERROR(IF(K192="",0,($D$6/$J$155)*K192),0)</f>
        <v>0</v>
      </c>
      <c r="K192" s="29" t="str">
        <f>IFERROR(IF(E192&lt;=$J$150,E192,""),"")</f>
        <v/>
      </c>
    </row>
    <row r="193" spans="5:11" s="28" customFormat="1" x14ac:dyDescent="0.25">
      <c r="F193" s="29"/>
      <c r="G193" s="29">
        <f>G192</f>
        <v>0</v>
      </c>
      <c r="H193" s="28">
        <f>IF(F192="",0,($D$6/100)*$J$150)</f>
        <v>0</v>
      </c>
      <c r="I193" s="28">
        <f>IF(K192="",0,($D$4/100)*$G$150)</f>
        <v>0</v>
      </c>
      <c r="J193" s="29">
        <f>J192</f>
        <v>0</v>
      </c>
      <c r="K193" s="29"/>
    </row>
    <row r="194" spans="5:11" s="28" customFormat="1" x14ac:dyDescent="0.25">
      <c r="F194" s="29"/>
      <c r="G194" s="29"/>
      <c r="J194" s="29"/>
      <c r="K194" s="29"/>
    </row>
    <row r="195" spans="5:11" s="28" customFormat="1" x14ac:dyDescent="0.25">
      <c r="E195" s="28">
        <v>13</v>
      </c>
      <c r="F195" s="29" t="str">
        <f>IFERROR(IF(E195&lt;=$G$150,E195,""),"")</f>
        <v/>
      </c>
      <c r="G195" s="29">
        <f>IFERROR(IF(F195="",0,($D$4/$G$155)*F195),0)</f>
        <v>0</v>
      </c>
      <c r="H195" s="28">
        <v>0</v>
      </c>
      <c r="I195" s="28">
        <v>0</v>
      </c>
      <c r="J195" s="29">
        <f>IFERROR(IF(K195="",0,($D$6/$J$155)*K195),0)</f>
        <v>0</v>
      </c>
      <c r="K195" s="29" t="str">
        <f>IFERROR(IF(E195&lt;=$J$150,E195,""),"")</f>
        <v/>
      </c>
    </row>
    <row r="196" spans="5:11" s="28" customFormat="1" x14ac:dyDescent="0.25">
      <c r="F196" s="29"/>
      <c r="G196" s="29">
        <f>G195</f>
        <v>0</v>
      </c>
      <c r="H196" s="28">
        <f>IF(F195="",0,($D$6/100)*$J$150)</f>
        <v>0</v>
      </c>
      <c r="I196" s="28">
        <f>IF(K195="",0,($D$4/100)*$G$150)</f>
        <v>0</v>
      </c>
      <c r="J196" s="29">
        <f>J195</f>
        <v>0</v>
      </c>
      <c r="K196" s="29"/>
    </row>
    <row r="197" spans="5:11" s="28" customFormat="1" x14ac:dyDescent="0.25">
      <c r="F197" s="29"/>
      <c r="G197" s="29"/>
      <c r="J197" s="29"/>
      <c r="K197" s="29"/>
    </row>
    <row r="198" spans="5:11" s="28" customFormat="1" x14ac:dyDescent="0.25">
      <c r="E198" s="28">
        <v>14</v>
      </c>
      <c r="F198" s="29" t="str">
        <f>IFERROR(IF(E198&lt;=$G$150,E198,""),"")</f>
        <v/>
      </c>
      <c r="G198" s="29">
        <f>IFERROR(IF(F198="",0,($D$4/$G$155)*F198),0)</f>
        <v>0</v>
      </c>
      <c r="H198" s="28">
        <v>0</v>
      </c>
      <c r="I198" s="28">
        <v>0</v>
      </c>
      <c r="J198" s="29">
        <f>IFERROR(IF(K198="",0,($D$6/$J$155)*K198),0)</f>
        <v>0</v>
      </c>
      <c r="K198" s="29" t="str">
        <f>IFERROR(IF(E198&lt;=$J$150,E198,""),"")</f>
        <v/>
      </c>
    </row>
    <row r="199" spans="5:11" s="28" customFormat="1" x14ac:dyDescent="0.25">
      <c r="F199" s="29"/>
      <c r="G199" s="29">
        <f>G198</f>
        <v>0</v>
      </c>
      <c r="H199" s="28">
        <f>IF(F198="",0,($D$6/100)*$J$150)</f>
        <v>0</v>
      </c>
      <c r="I199" s="28">
        <f>IF(K198="",0,($D$4/100)*$G$150)</f>
        <v>0</v>
      </c>
      <c r="J199" s="29">
        <f>J198</f>
        <v>0</v>
      </c>
      <c r="K199" s="29"/>
    </row>
    <row r="200" spans="5:11" s="28" customFormat="1" x14ac:dyDescent="0.25">
      <c r="F200" s="29"/>
      <c r="G200" s="29"/>
      <c r="J200" s="29"/>
      <c r="K200" s="29"/>
    </row>
    <row r="201" spans="5:11" s="28" customFormat="1" x14ac:dyDescent="0.25">
      <c r="E201" s="28">
        <v>15</v>
      </c>
      <c r="F201" s="29" t="str">
        <f>IFERROR(IF(E201&lt;=$G$150,E201,""),"")</f>
        <v/>
      </c>
      <c r="G201" s="29">
        <f>IFERROR(IF(F201="",0,($D$4/$G$155)*F201),0)</f>
        <v>0</v>
      </c>
      <c r="H201" s="28">
        <v>0</v>
      </c>
      <c r="I201" s="28">
        <v>0</v>
      </c>
      <c r="J201" s="29">
        <f>IFERROR(IF(K201="",0,($D$6/$J$155)*K201),0)</f>
        <v>0</v>
      </c>
      <c r="K201" s="29" t="str">
        <f>IFERROR(IF(E201&lt;=$J$150,E201,""),"")</f>
        <v/>
      </c>
    </row>
    <row r="202" spans="5:11" s="28" customFormat="1" x14ac:dyDescent="0.25">
      <c r="F202" s="29"/>
      <c r="G202" s="29">
        <f>G201</f>
        <v>0</v>
      </c>
      <c r="H202" s="28">
        <f>IF(F201="",0,($D$6/100)*$J$150)</f>
        <v>0</v>
      </c>
      <c r="I202" s="28">
        <f>IF(K201="",0,($D$4/100)*$G$150)</f>
        <v>0</v>
      </c>
      <c r="J202" s="29">
        <f>J201</f>
        <v>0</v>
      </c>
      <c r="K202" s="29"/>
    </row>
    <row r="203" spans="5:11" s="28" customFormat="1" x14ac:dyDescent="0.25">
      <c r="F203" s="29"/>
      <c r="G203" s="29"/>
      <c r="J203" s="29"/>
      <c r="K203" s="29"/>
    </row>
    <row r="204" spans="5:11" s="28" customFormat="1" x14ac:dyDescent="0.25">
      <c r="E204" s="28">
        <v>16</v>
      </c>
      <c r="F204" s="29" t="str">
        <f>IFERROR(IF(E204&lt;=$G$150,E204,""),"")</f>
        <v/>
      </c>
      <c r="G204" s="29">
        <f>IFERROR(IF(F204="",0,($D$4/$G$155)*F204),0)</f>
        <v>0</v>
      </c>
      <c r="H204" s="28">
        <v>0</v>
      </c>
      <c r="I204" s="28">
        <v>0</v>
      </c>
      <c r="J204" s="29">
        <f>IFERROR(IF(K204="",0,($D$6/$J$155)*K204),0)</f>
        <v>0</v>
      </c>
      <c r="K204" s="29" t="str">
        <f>IFERROR(IF(E204&lt;=$J$150,E204,""),"")</f>
        <v/>
      </c>
    </row>
    <row r="205" spans="5:11" s="28" customFormat="1" x14ac:dyDescent="0.25">
      <c r="F205" s="29"/>
      <c r="G205" s="29">
        <f>G204</f>
        <v>0</v>
      </c>
      <c r="H205" s="28">
        <f>IF(F204="",0,($D$6/100)*$J$150)</f>
        <v>0</v>
      </c>
      <c r="I205" s="28">
        <f>IF(K204="",0,($D$4/100)*$G$150)</f>
        <v>0</v>
      </c>
      <c r="J205" s="29">
        <f>J204</f>
        <v>0</v>
      </c>
      <c r="K205" s="29"/>
    </row>
    <row r="206" spans="5:11" s="28" customFormat="1" x14ac:dyDescent="0.25">
      <c r="F206" s="29"/>
      <c r="G206" s="29"/>
      <c r="J206" s="29"/>
      <c r="K206" s="29"/>
    </row>
    <row r="207" spans="5:11" s="28" customFormat="1" x14ac:dyDescent="0.25">
      <c r="E207" s="28">
        <v>17</v>
      </c>
      <c r="F207" s="29" t="str">
        <f>IFERROR(IF(E207&lt;=$G$150,E207,""),"")</f>
        <v/>
      </c>
      <c r="G207" s="29">
        <f>IFERROR(IF(F207="",0,($D$4/$G$155)*F207),0)</f>
        <v>0</v>
      </c>
      <c r="H207" s="28">
        <v>0</v>
      </c>
      <c r="I207" s="28">
        <v>0</v>
      </c>
      <c r="J207" s="29">
        <f>IFERROR(IF(K207="",0,($D$6/$J$155)*K207),0)</f>
        <v>0</v>
      </c>
      <c r="K207" s="29" t="str">
        <f>IFERROR(IF(E207&lt;=$J$150,E207,""),"")</f>
        <v/>
      </c>
    </row>
    <row r="208" spans="5:11" s="28" customFormat="1" x14ac:dyDescent="0.25">
      <c r="F208" s="29"/>
      <c r="G208" s="29">
        <f>G207</f>
        <v>0</v>
      </c>
      <c r="H208" s="28">
        <f>IF(F207="",0,($D$6/100)*$J$150)</f>
        <v>0</v>
      </c>
      <c r="I208" s="28">
        <f>IF(K207="",0,($D$4/100)*$G$150)</f>
        <v>0</v>
      </c>
      <c r="J208" s="29">
        <f>J207</f>
        <v>0</v>
      </c>
      <c r="K208" s="29"/>
    </row>
    <row r="209" spans="5:11" s="28" customFormat="1" x14ac:dyDescent="0.25">
      <c r="F209" s="29"/>
      <c r="G209" s="29"/>
      <c r="J209" s="29"/>
      <c r="K209" s="29"/>
    </row>
    <row r="210" spans="5:11" s="28" customFormat="1" x14ac:dyDescent="0.25">
      <c r="E210" s="28">
        <v>18</v>
      </c>
      <c r="F210" s="29" t="str">
        <f>IFERROR(IF(E210&lt;=$G$150,E210,""),"")</f>
        <v/>
      </c>
      <c r="G210" s="29">
        <f>IFERROR(IF(F210="",0,($D$4/$G$155)*F210),0)</f>
        <v>0</v>
      </c>
      <c r="H210" s="28">
        <v>0</v>
      </c>
      <c r="I210" s="28">
        <v>0</v>
      </c>
      <c r="J210" s="29">
        <f>IFERROR(IF(K210="",0,($D$6/$J$155)*K210),0)</f>
        <v>0</v>
      </c>
      <c r="K210" s="29" t="str">
        <f>IFERROR(IF(E210&lt;=$J$150,E210,""),"")</f>
        <v/>
      </c>
    </row>
    <row r="211" spans="5:11" s="28" customFormat="1" x14ac:dyDescent="0.25">
      <c r="F211" s="29"/>
      <c r="G211" s="29">
        <f>G210</f>
        <v>0</v>
      </c>
      <c r="H211" s="28">
        <f>IF(F210="",0,($D$6/100)*$J$150)</f>
        <v>0</v>
      </c>
      <c r="I211" s="28">
        <f>IF(K210="",0,($D$4/100)*$G$150)</f>
        <v>0</v>
      </c>
      <c r="J211" s="29">
        <f>J210</f>
        <v>0</v>
      </c>
      <c r="K211" s="29"/>
    </row>
    <row r="212" spans="5:11" s="28" customFormat="1" x14ac:dyDescent="0.25">
      <c r="F212" s="29"/>
      <c r="G212" s="29"/>
      <c r="J212" s="29"/>
      <c r="K212" s="29"/>
    </row>
    <row r="213" spans="5:11" s="28" customFormat="1" x14ac:dyDescent="0.25">
      <c r="E213" s="28">
        <v>19</v>
      </c>
      <c r="F213" s="29" t="str">
        <f>IFERROR(IF(E213&lt;=$G$150,E213,""),"")</f>
        <v/>
      </c>
      <c r="G213" s="29">
        <f>IFERROR(IF(F213="",0,($D$4/$G$155)*F213),0)</f>
        <v>0</v>
      </c>
      <c r="H213" s="28">
        <v>0</v>
      </c>
      <c r="I213" s="28">
        <v>0</v>
      </c>
      <c r="J213" s="29">
        <f>IFERROR(IF(K213="",0,($D$6/$J$155)*K213),0)</f>
        <v>0</v>
      </c>
      <c r="K213" s="29" t="str">
        <f>IFERROR(IF(E213&lt;=$J$150,E213,""),"")</f>
        <v/>
      </c>
    </row>
    <row r="214" spans="5:11" s="28" customFormat="1" x14ac:dyDescent="0.25">
      <c r="F214" s="29"/>
      <c r="G214" s="29">
        <f>G213</f>
        <v>0</v>
      </c>
      <c r="H214" s="28">
        <f>IF(F213="",0,($D$6/100)*$J$150)</f>
        <v>0</v>
      </c>
      <c r="I214" s="28">
        <f>IF(K213="",0,($D$4/100)*$G$150)</f>
        <v>0</v>
      </c>
      <c r="J214" s="29">
        <f>J213</f>
        <v>0</v>
      </c>
      <c r="K214" s="29"/>
    </row>
    <row r="215" spans="5:11" s="28" customFormat="1" x14ac:dyDescent="0.25">
      <c r="F215" s="29"/>
      <c r="G215" s="29"/>
      <c r="J215" s="29"/>
      <c r="K215" s="29"/>
    </row>
    <row r="216" spans="5:11" s="28" customFormat="1" x14ac:dyDescent="0.25">
      <c r="E216" s="28">
        <v>20</v>
      </c>
      <c r="F216" s="29" t="str">
        <f>IFERROR(IF(E216&lt;=$G$150,E216,""),"")</f>
        <v/>
      </c>
      <c r="G216" s="29">
        <f>IFERROR(IF(F216="",0,($D$4/$G$155)*F216),0)</f>
        <v>0</v>
      </c>
      <c r="H216" s="28">
        <v>0</v>
      </c>
      <c r="I216" s="28">
        <v>0</v>
      </c>
      <c r="J216" s="29">
        <f>IFERROR(IF(K216="",0,($D$6/$J$155)*K216),0)</f>
        <v>0</v>
      </c>
      <c r="K216" s="29" t="str">
        <f>IFERROR(IF(E216&lt;=$J$150,E216,""),"")</f>
        <v/>
      </c>
    </row>
    <row r="217" spans="5:11" s="28" customFormat="1" x14ac:dyDescent="0.25">
      <c r="F217" s="29"/>
      <c r="G217" s="29">
        <f>G216</f>
        <v>0</v>
      </c>
      <c r="H217" s="28">
        <f>IF(F216="",0,($D$6/100)*$J$150)</f>
        <v>0</v>
      </c>
      <c r="I217" s="28">
        <f>IF(K216="",0,($D$4/100)*$G$150)</f>
        <v>0</v>
      </c>
      <c r="J217" s="29">
        <f>J216</f>
        <v>0</v>
      </c>
      <c r="K217" s="29"/>
    </row>
    <row r="218" spans="5:11" s="28" customFormat="1" x14ac:dyDescent="0.25">
      <c r="F218" s="29"/>
      <c r="G218" s="29"/>
      <c r="J218" s="29"/>
      <c r="K218" s="29"/>
    </row>
    <row r="219" spans="5:11" s="28" customFormat="1" x14ac:dyDescent="0.25">
      <c r="E219" s="28">
        <v>21</v>
      </c>
      <c r="F219" s="29" t="str">
        <f>IFERROR(IF(E219&lt;=$G$150,E219,""),"")</f>
        <v/>
      </c>
      <c r="G219" s="29">
        <f>IFERROR(IF(F219="",0,($D$4/$G$155)*F219),0)</f>
        <v>0</v>
      </c>
      <c r="H219" s="28">
        <v>0</v>
      </c>
      <c r="I219" s="28">
        <v>0</v>
      </c>
      <c r="J219" s="29">
        <f>IFERROR(IF(K219="",0,($D$6/$J$155)*K219),0)</f>
        <v>0</v>
      </c>
      <c r="K219" s="29" t="str">
        <f>IFERROR(IF(E219&lt;=$J$150,E219,""),"")</f>
        <v/>
      </c>
    </row>
    <row r="220" spans="5:11" s="28" customFormat="1" x14ac:dyDescent="0.25">
      <c r="F220" s="29"/>
      <c r="G220" s="29">
        <f>G219</f>
        <v>0</v>
      </c>
      <c r="H220" s="28">
        <f>IF(F219="",0,($D$6/100)*$J$150)</f>
        <v>0</v>
      </c>
      <c r="I220" s="28">
        <f>IF(K219="",0,($D$4/100)*$G$150)</f>
        <v>0</v>
      </c>
      <c r="J220" s="29">
        <f>J219</f>
        <v>0</v>
      </c>
      <c r="K220" s="29"/>
    </row>
    <row r="221" spans="5:11" s="28" customFormat="1" x14ac:dyDescent="0.25">
      <c r="F221" s="29"/>
      <c r="G221" s="29"/>
      <c r="J221" s="29"/>
      <c r="K221" s="29"/>
    </row>
    <row r="222" spans="5:11" s="28" customFormat="1" x14ac:dyDescent="0.25">
      <c r="E222" s="28">
        <v>22</v>
      </c>
      <c r="F222" s="29" t="str">
        <f>IFERROR(IF(E222&lt;=$G$150,E222,""),"")</f>
        <v/>
      </c>
      <c r="G222" s="29">
        <f>IFERROR(IF(F222="",0,($D$4/$G$155)*F222),0)</f>
        <v>0</v>
      </c>
      <c r="H222" s="28">
        <v>0</v>
      </c>
      <c r="I222" s="28">
        <v>0</v>
      </c>
      <c r="J222" s="29">
        <f>IFERROR(IF(K222="",0,($D$6/$J$155)*K222),0)</f>
        <v>0</v>
      </c>
      <c r="K222" s="29" t="str">
        <f>IFERROR(IF(E222&lt;=$J$150,E222,""),"")</f>
        <v/>
      </c>
    </row>
    <row r="223" spans="5:11" s="28" customFormat="1" x14ac:dyDescent="0.25">
      <c r="F223" s="29"/>
      <c r="G223" s="29">
        <f>G222</f>
        <v>0</v>
      </c>
      <c r="H223" s="28">
        <f>IF(F222="",0,($D$6/100)*$J$150)</f>
        <v>0</v>
      </c>
      <c r="I223" s="28">
        <f>IF(K222="",0,($D$4/100)*$G$150)</f>
        <v>0</v>
      </c>
      <c r="J223" s="29">
        <f>J222</f>
        <v>0</v>
      </c>
      <c r="K223" s="29"/>
    </row>
    <row r="224" spans="5:11" s="28" customFormat="1" x14ac:dyDescent="0.25">
      <c r="F224" s="29"/>
      <c r="G224" s="29"/>
      <c r="J224" s="29"/>
      <c r="K224" s="29"/>
    </row>
    <row r="225" spans="5:11" s="28" customFormat="1" x14ac:dyDescent="0.25">
      <c r="E225" s="28">
        <v>23</v>
      </c>
      <c r="F225" s="29" t="str">
        <f>IFERROR(IF(E225&lt;=$G$150,E225,""),"")</f>
        <v/>
      </c>
      <c r="G225" s="29">
        <f>IFERROR(IF(F225="",0,($D$4/$G$155)*F225),0)</f>
        <v>0</v>
      </c>
      <c r="H225" s="28">
        <v>0</v>
      </c>
      <c r="I225" s="28">
        <v>0</v>
      </c>
      <c r="J225" s="29">
        <f>IFERROR(IF(K225="",0,($D$6/$J$155)*K225),0)</f>
        <v>0</v>
      </c>
      <c r="K225" s="29" t="str">
        <f>IFERROR(IF(E225&lt;=$J$150,E225,""),"")</f>
        <v/>
      </c>
    </row>
    <row r="226" spans="5:11" s="28" customFormat="1" x14ac:dyDescent="0.25">
      <c r="F226" s="29"/>
      <c r="G226" s="29">
        <f>G225</f>
        <v>0</v>
      </c>
      <c r="H226" s="28">
        <f>IF(F225="",0,($D$6/100)*$J$150)</f>
        <v>0</v>
      </c>
      <c r="I226" s="28">
        <f>IF(K225="",0,($D$4/100)*$G$150)</f>
        <v>0</v>
      </c>
      <c r="J226" s="29">
        <f>J225</f>
        <v>0</v>
      </c>
      <c r="K226" s="29"/>
    </row>
    <row r="227" spans="5:11" s="28" customFormat="1" x14ac:dyDescent="0.25">
      <c r="F227" s="29"/>
      <c r="G227" s="29"/>
      <c r="J227" s="29"/>
      <c r="K227" s="29"/>
    </row>
    <row r="228" spans="5:11" s="28" customFormat="1" x14ac:dyDescent="0.25">
      <c r="E228" s="28">
        <v>24</v>
      </c>
      <c r="F228" s="29" t="str">
        <f>IFERROR(IF(E228&lt;=$G$150,E228,""),"")</f>
        <v/>
      </c>
      <c r="G228" s="29">
        <f>IFERROR(IF(F228="",0,($D$4/$G$155)*F228),0)</f>
        <v>0</v>
      </c>
      <c r="H228" s="28">
        <v>0</v>
      </c>
      <c r="I228" s="28">
        <v>0</v>
      </c>
      <c r="J228" s="29">
        <f>IFERROR(IF(K228="",0,($D$6/$J$155)*K228),0)</f>
        <v>0</v>
      </c>
      <c r="K228" s="29" t="str">
        <f>IFERROR(IF(E228&lt;=$J$150,E228,""),"")</f>
        <v/>
      </c>
    </row>
    <row r="229" spans="5:11" s="28" customFormat="1" x14ac:dyDescent="0.25">
      <c r="F229" s="29"/>
      <c r="G229" s="29">
        <f>G228</f>
        <v>0</v>
      </c>
      <c r="H229" s="28">
        <f>IF(F228="",0,($D$6/100)*$J$150)</f>
        <v>0</v>
      </c>
      <c r="I229" s="28">
        <f>IF(K228="",0,($D$4/100)*$G$150)</f>
        <v>0</v>
      </c>
      <c r="J229" s="29">
        <f>J228</f>
        <v>0</v>
      </c>
      <c r="K229" s="29"/>
    </row>
    <row r="230" spans="5:11" s="28" customFormat="1" x14ac:dyDescent="0.25">
      <c r="F230" s="29"/>
      <c r="G230" s="29"/>
      <c r="J230" s="29"/>
      <c r="K230" s="29"/>
    </row>
    <row r="231" spans="5:11" s="28" customFormat="1" x14ac:dyDescent="0.25">
      <c r="E231" s="28">
        <v>25</v>
      </c>
      <c r="F231" s="29" t="str">
        <f>IFERROR(IF(E231&lt;=$G$150,E231,""),"")</f>
        <v/>
      </c>
      <c r="G231" s="29">
        <f>IFERROR(IF(F231="",0,($D$4/$G$155)*F231),0)</f>
        <v>0</v>
      </c>
      <c r="H231" s="28">
        <v>0</v>
      </c>
      <c r="I231" s="28">
        <v>0</v>
      </c>
      <c r="J231" s="29">
        <f>IFERROR(IF(K231="",0,($D$6/$J$155)*K231),0)</f>
        <v>0</v>
      </c>
      <c r="K231" s="29" t="str">
        <f>IFERROR(IF(E231&lt;=$J$150,E231,""),"")</f>
        <v/>
      </c>
    </row>
    <row r="232" spans="5:11" s="28" customFormat="1" x14ac:dyDescent="0.25">
      <c r="F232" s="29"/>
      <c r="G232" s="29">
        <f>G231</f>
        <v>0</v>
      </c>
      <c r="H232" s="28">
        <f>IF(F231="",0,($D$6/100)*$J$150)</f>
        <v>0</v>
      </c>
      <c r="I232" s="28">
        <f>IF(K231="",0,($D$4/100)*$G$150)</f>
        <v>0</v>
      </c>
      <c r="J232" s="29">
        <f>J231</f>
        <v>0</v>
      </c>
      <c r="K232" s="29"/>
    </row>
    <row r="233" spans="5:11" s="28" customFormat="1" x14ac:dyDescent="0.25">
      <c r="F233" s="29"/>
      <c r="G233" s="29"/>
      <c r="J233" s="29"/>
      <c r="K233" s="29"/>
    </row>
    <row r="234" spans="5:11" s="28" customFormat="1" x14ac:dyDescent="0.25">
      <c r="E234" s="28">
        <v>26</v>
      </c>
      <c r="F234" s="29" t="str">
        <f>IFERROR(IF(E234&lt;=$G$150,E234,""),"")</f>
        <v/>
      </c>
      <c r="G234" s="29">
        <f>IFERROR(IF(F234="",0,($D$4/$G$155)*F234),0)</f>
        <v>0</v>
      </c>
      <c r="H234" s="28">
        <v>0</v>
      </c>
      <c r="I234" s="28">
        <v>0</v>
      </c>
      <c r="J234" s="29">
        <f>IFERROR(IF(K234="",0,($D$6/$J$155)*K234),0)</f>
        <v>0</v>
      </c>
      <c r="K234" s="29" t="str">
        <f>IFERROR(IF(E234&lt;=$J$150,E234,""),"")</f>
        <v/>
      </c>
    </row>
    <row r="235" spans="5:11" s="28" customFormat="1" x14ac:dyDescent="0.25">
      <c r="F235" s="29"/>
      <c r="G235" s="29">
        <f>G234</f>
        <v>0</v>
      </c>
      <c r="H235" s="28">
        <f>IF(F234="",0,($D$6/100)*$J$150)</f>
        <v>0</v>
      </c>
      <c r="I235" s="28">
        <f>IF(K234="",0,($D$4/100)*$G$150)</f>
        <v>0</v>
      </c>
      <c r="J235" s="29">
        <f>J234</f>
        <v>0</v>
      </c>
      <c r="K235" s="29"/>
    </row>
    <row r="236" spans="5:11" s="28" customFormat="1" x14ac:dyDescent="0.25">
      <c r="F236" s="29"/>
      <c r="G236" s="29"/>
      <c r="J236" s="29"/>
      <c r="K236" s="29"/>
    </row>
    <row r="237" spans="5:11" s="28" customFormat="1" x14ac:dyDescent="0.25">
      <c r="E237" s="28">
        <v>27</v>
      </c>
      <c r="F237" s="29" t="str">
        <f>IFERROR(IF(E237&lt;=$G$150,E237,""),"")</f>
        <v/>
      </c>
      <c r="G237" s="29">
        <f>IFERROR(IF(F237="",0,($D$4/$G$155)*F237),0)</f>
        <v>0</v>
      </c>
      <c r="H237" s="28">
        <v>0</v>
      </c>
      <c r="I237" s="28">
        <v>0</v>
      </c>
      <c r="J237" s="29">
        <f>IFERROR(IF(K237="",0,($D$6/$J$155)*K237),0)</f>
        <v>0</v>
      </c>
      <c r="K237" s="29" t="str">
        <f>IFERROR(IF(E237&lt;=$J$150,E237,""),"")</f>
        <v/>
      </c>
    </row>
    <row r="238" spans="5:11" s="28" customFormat="1" x14ac:dyDescent="0.25">
      <c r="F238" s="29"/>
      <c r="G238" s="29">
        <f>G237</f>
        <v>0</v>
      </c>
      <c r="H238" s="28">
        <f>IF(F237="",0,($D$6/100)*$J$150)</f>
        <v>0</v>
      </c>
      <c r="I238" s="28">
        <f>IF(K237="",0,($D$4/100)*$G$150)</f>
        <v>0</v>
      </c>
      <c r="J238" s="29">
        <f>J237</f>
        <v>0</v>
      </c>
      <c r="K238" s="29"/>
    </row>
    <row r="239" spans="5:11" s="28" customFormat="1" x14ac:dyDescent="0.25">
      <c r="F239" s="29"/>
      <c r="G239" s="29"/>
      <c r="J239" s="29"/>
      <c r="K239" s="29"/>
    </row>
    <row r="240" spans="5:11" s="28" customFormat="1" x14ac:dyDescent="0.25">
      <c r="E240" s="28">
        <v>28</v>
      </c>
      <c r="F240" s="29" t="str">
        <f>IFERROR(IF(E240&lt;=$G$150,E240,""),"")</f>
        <v/>
      </c>
      <c r="G240" s="29">
        <f>IFERROR(IF(F240="",0,($D$4/$G$155)*F240),0)</f>
        <v>0</v>
      </c>
      <c r="H240" s="28">
        <v>0</v>
      </c>
      <c r="I240" s="28">
        <v>0</v>
      </c>
      <c r="J240" s="29">
        <f>IFERROR(IF(K240="",0,($D$6/$J$155)*K240),0)</f>
        <v>0</v>
      </c>
      <c r="K240" s="29" t="str">
        <f>IFERROR(IF(E240&lt;=$J$150,E240,""),"")</f>
        <v/>
      </c>
    </row>
    <row r="241" spans="5:11" s="28" customFormat="1" x14ac:dyDescent="0.25">
      <c r="F241" s="29"/>
      <c r="G241" s="29">
        <f>G240</f>
        <v>0</v>
      </c>
      <c r="H241" s="28">
        <f>IF(F240="",0,($D$6/100)*$J$150)</f>
        <v>0</v>
      </c>
      <c r="I241" s="28">
        <f>IF(K240="",0,($D$4/100)*$G$150)</f>
        <v>0</v>
      </c>
      <c r="J241" s="29">
        <f>J240</f>
        <v>0</v>
      </c>
      <c r="K241" s="29"/>
    </row>
    <row r="242" spans="5:11" s="28" customFormat="1" x14ac:dyDescent="0.25">
      <c r="F242" s="29"/>
      <c r="G242" s="29"/>
      <c r="J242" s="29"/>
      <c r="K242" s="29"/>
    </row>
    <row r="243" spans="5:11" s="28" customFormat="1" x14ac:dyDescent="0.25">
      <c r="E243" s="28">
        <v>29</v>
      </c>
      <c r="F243" s="29" t="str">
        <f>IFERROR(IF(E243&lt;=$G$150,E243,""),"")</f>
        <v/>
      </c>
      <c r="G243" s="29">
        <f>IFERROR(IF(F243="",0,($D$4/$G$155)*F243),0)</f>
        <v>0</v>
      </c>
      <c r="H243" s="28">
        <v>0</v>
      </c>
      <c r="I243" s="28">
        <v>0</v>
      </c>
      <c r="J243" s="29">
        <f>IFERROR(IF(K243="",0,($D$6/$J$155)*K243),0)</f>
        <v>0</v>
      </c>
      <c r="K243" s="29" t="str">
        <f>IFERROR(IF(E243&lt;=$J$150,E243,""),"")</f>
        <v/>
      </c>
    </row>
    <row r="244" spans="5:11" s="28" customFormat="1" x14ac:dyDescent="0.25">
      <c r="F244" s="29"/>
      <c r="G244" s="29">
        <f>G243</f>
        <v>0</v>
      </c>
      <c r="H244" s="28">
        <f>IF(F243="",0,($D$6/100)*$J$150)</f>
        <v>0</v>
      </c>
      <c r="I244" s="28">
        <f>IF(K243="",0,($D$4/100)*$G$150)</f>
        <v>0</v>
      </c>
      <c r="J244" s="29">
        <f>J243</f>
        <v>0</v>
      </c>
      <c r="K244" s="29"/>
    </row>
    <row r="245" spans="5:11" s="28" customFormat="1" x14ac:dyDescent="0.25">
      <c r="F245" s="29"/>
      <c r="G245" s="29"/>
      <c r="J245" s="29"/>
      <c r="K245" s="29"/>
    </row>
    <row r="246" spans="5:11" s="28" customFormat="1" x14ac:dyDescent="0.25">
      <c r="E246" s="28">
        <v>30</v>
      </c>
      <c r="F246" s="29" t="str">
        <f>IFERROR(IF(E246&lt;=$G$150,E246,""),"")</f>
        <v/>
      </c>
      <c r="G246" s="29">
        <f>IFERROR(IF(F246="",0,($D$4/$G$155)*F246),0)</f>
        <v>0</v>
      </c>
      <c r="H246" s="28">
        <v>0</v>
      </c>
      <c r="I246" s="28">
        <v>0</v>
      </c>
      <c r="J246" s="29">
        <f>IFERROR(IF(K246="",0,($D$6/$J$155)*K246),0)</f>
        <v>0</v>
      </c>
      <c r="K246" s="29" t="str">
        <f>IFERROR(IF(E246&lt;=$J$150,E246,""),"")</f>
        <v/>
      </c>
    </row>
    <row r="247" spans="5:11" s="28" customFormat="1" x14ac:dyDescent="0.25">
      <c r="F247" s="29"/>
      <c r="G247" s="29">
        <f>G246</f>
        <v>0</v>
      </c>
      <c r="H247" s="28">
        <f>IF(F246="",0,($D$6/100)*$J$150)</f>
        <v>0</v>
      </c>
      <c r="I247" s="28">
        <f>IF(K246="",0,($D$4/100)*$G$150)</f>
        <v>0</v>
      </c>
      <c r="J247" s="29">
        <f>J246</f>
        <v>0</v>
      </c>
      <c r="K247" s="29"/>
    </row>
    <row r="248" spans="5:11" s="28" customFormat="1" x14ac:dyDescent="0.25">
      <c r="F248" s="29"/>
      <c r="G248" s="29"/>
      <c r="J248" s="29"/>
      <c r="K248" s="29"/>
    </row>
    <row r="249" spans="5:11" s="28" customFormat="1" x14ac:dyDescent="0.25">
      <c r="E249" s="28">
        <v>31</v>
      </c>
      <c r="F249" s="29" t="str">
        <f>IFERROR(IF(E249&lt;=$G$150,E249,""),"")</f>
        <v/>
      </c>
      <c r="G249" s="29">
        <f>IFERROR(IF(F249="",0,($D$4/$G$155)*F249),0)</f>
        <v>0</v>
      </c>
      <c r="H249" s="28">
        <v>0</v>
      </c>
      <c r="I249" s="28">
        <v>0</v>
      </c>
      <c r="J249" s="29">
        <f>IFERROR(IF(K249="",0,($D$6/$J$155)*K249),0)</f>
        <v>0</v>
      </c>
      <c r="K249" s="29" t="str">
        <f>IFERROR(IF(E249&lt;=$J$150,E249,""),"")</f>
        <v/>
      </c>
    </row>
    <row r="250" spans="5:11" s="28" customFormat="1" x14ac:dyDescent="0.25">
      <c r="F250" s="29"/>
      <c r="G250" s="29">
        <f>G249</f>
        <v>0</v>
      </c>
      <c r="H250" s="28">
        <f>IF(F249="",0,($D$6/100)*$J$150)</f>
        <v>0</v>
      </c>
      <c r="I250" s="28">
        <f>IF(K249="",0,($D$4/100)*$G$150)</f>
        <v>0</v>
      </c>
      <c r="J250" s="29">
        <f>J249</f>
        <v>0</v>
      </c>
      <c r="K250" s="29"/>
    </row>
    <row r="251" spans="5:11" s="28" customFormat="1" x14ac:dyDescent="0.25">
      <c r="F251" s="29"/>
      <c r="G251" s="29"/>
      <c r="J251" s="29"/>
      <c r="K251" s="29"/>
    </row>
    <row r="252" spans="5:11" s="28" customFormat="1" x14ac:dyDescent="0.25">
      <c r="E252" s="28">
        <v>32</v>
      </c>
      <c r="F252" s="29" t="str">
        <f>IFERROR(IF(E252&lt;=$G$150,E252,""),"")</f>
        <v/>
      </c>
      <c r="G252" s="29">
        <f>IFERROR(IF(F252="",0,($D$4/$G$155)*F252),0)</f>
        <v>0</v>
      </c>
      <c r="H252" s="28">
        <v>0</v>
      </c>
      <c r="I252" s="28">
        <v>0</v>
      </c>
      <c r="J252" s="29">
        <f>IFERROR(IF(K252="",0,($D$6/$J$155)*K252),0)</f>
        <v>0</v>
      </c>
      <c r="K252" s="29" t="str">
        <f>IFERROR(IF(E252&lt;=$J$150,E252,""),"")</f>
        <v/>
      </c>
    </row>
    <row r="253" spans="5:11" s="28" customFormat="1" x14ac:dyDescent="0.25">
      <c r="F253" s="29"/>
      <c r="G253" s="29">
        <f>G252</f>
        <v>0</v>
      </c>
      <c r="H253" s="28">
        <f>IF(F252="",0,($D$6/100)*$J$150)</f>
        <v>0</v>
      </c>
      <c r="I253" s="28">
        <f>IF(K252="",0,($D$4/100)*$G$150)</f>
        <v>0</v>
      </c>
      <c r="J253" s="29">
        <f>J252</f>
        <v>0</v>
      </c>
      <c r="K253" s="29"/>
    </row>
    <row r="254" spans="5:11" s="28" customFormat="1" x14ac:dyDescent="0.25">
      <c r="F254" s="29"/>
      <c r="G254" s="29"/>
      <c r="J254" s="29"/>
      <c r="K254" s="29"/>
    </row>
    <row r="255" spans="5:11" s="28" customFormat="1" x14ac:dyDescent="0.25">
      <c r="E255" s="28">
        <v>33</v>
      </c>
      <c r="F255" s="29" t="str">
        <f>IFERROR(IF(E255&lt;=$G$150,E255,""),"")</f>
        <v/>
      </c>
      <c r="G255" s="29">
        <f>IFERROR(IF(F255="",0,($D$4/$G$155)*F255),0)</f>
        <v>0</v>
      </c>
      <c r="H255" s="28">
        <v>0</v>
      </c>
      <c r="I255" s="28">
        <v>0</v>
      </c>
      <c r="J255" s="29">
        <f>IFERROR(IF(K255="",0,($D$6/$J$155)*K255),0)</f>
        <v>0</v>
      </c>
      <c r="K255" s="29" t="str">
        <f>IFERROR(IF(E255&lt;=$J$150,E255,""),"")</f>
        <v/>
      </c>
    </row>
    <row r="256" spans="5:11" s="28" customFormat="1" x14ac:dyDescent="0.25">
      <c r="F256" s="29"/>
      <c r="G256" s="29">
        <f>G255</f>
        <v>0</v>
      </c>
      <c r="H256" s="28">
        <f>IF(F255="",0,($D$6/100)*$J$150)</f>
        <v>0</v>
      </c>
      <c r="I256" s="28">
        <f>IF(K255="",0,($D$4/100)*$G$150)</f>
        <v>0</v>
      </c>
      <c r="J256" s="29">
        <f>J255</f>
        <v>0</v>
      </c>
      <c r="K256" s="29"/>
    </row>
    <row r="257" spans="5:11" s="28" customFormat="1" x14ac:dyDescent="0.25">
      <c r="F257" s="29"/>
      <c r="G257" s="29"/>
      <c r="J257" s="29"/>
      <c r="K257" s="29"/>
    </row>
    <row r="258" spans="5:11" s="28" customFormat="1" x14ac:dyDescent="0.25">
      <c r="E258" s="28">
        <v>34</v>
      </c>
      <c r="F258" s="29" t="str">
        <f>IFERROR(IF(E258&lt;=$G$150,E258,""),"")</f>
        <v/>
      </c>
      <c r="G258" s="29">
        <f>IFERROR(IF(F258="",0,($D$4/$G$155)*F258),0)</f>
        <v>0</v>
      </c>
      <c r="H258" s="28">
        <v>0</v>
      </c>
      <c r="I258" s="28">
        <v>0</v>
      </c>
      <c r="J258" s="29">
        <f>IFERROR(IF(K258="",0,($D$6/$J$155)*K258),0)</f>
        <v>0</v>
      </c>
      <c r="K258" s="29" t="str">
        <f>IFERROR(IF(E258&lt;=$J$150,E258,""),"")</f>
        <v/>
      </c>
    </row>
    <row r="259" spans="5:11" s="28" customFormat="1" x14ac:dyDescent="0.25">
      <c r="F259" s="29"/>
      <c r="G259" s="29">
        <f>G258</f>
        <v>0</v>
      </c>
      <c r="H259" s="28">
        <f>IF(F258="",0,($D$6/100)*$J$150)</f>
        <v>0</v>
      </c>
      <c r="I259" s="28">
        <f>IF(K258="",0,($D$4/100)*$G$150)</f>
        <v>0</v>
      </c>
      <c r="J259" s="29">
        <f>J258</f>
        <v>0</v>
      </c>
      <c r="K259" s="29"/>
    </row>
    <row r="260" spans="5:11" s="28" customFormat="1" x14ac:dyDescent="0.25">
      <c r="F260" s="29"/>
      <c r="G260" s="29"/>
      <c r="J260" s="29"/>
      <c r="K260" s="29"/>
    </row>
    <row r="261" spans="5:11" s="28" customFormat="1" x14ac:dyDescent="0.25">
      <c r="E261" s="28">
        <v>35</v>
      </c>
      <c r="F261" s="29" t="str">
        <f>IFERROR(IF(E261&lt;=$G$150,E261,""),"")</f>
        <v/>
      </c>
      <c r="G261" s="29">
        <f>IFERROR(IF(F261="",0,($D$4/$G$155)*F261),0)</f>
        <v>0</v>
      </c>
      <c r="H261" s="28">
        <v>0</v>
      </c>
      <c r="I261" s="28">
        <v>0</v>
      </c>
      <c r="J261" s="29">
        <f>IFERROR(IF(K261="",0,($D$6/$J$155)*K261),0)</f>
        <v>0</v>
      </c>
      <c r="K261" s="29" t="str">
        <f>IFERROR(IF(E261&lt;=$J$150,E261,""),"")</f>
        <v/>
      </c>
    </row>
    <row r="262" spans="5:11" s="28" customFormat="1" x14ac:dyDescent="0.25">
      <c r="F262" s="29"/>
      <c r="G262" s="29">
        <f>G261</f>
        <v>0</v>
      </c>
      <c r="H262" s="28">
        <f>IF(F261="",0,($D$6/100)*$J$150)</f>
        <v>0</v>
      </c>
      <c r="I262" s="28">
        <f>IF(K261="",0,($D$4/100)*$G$150)</f>
        <v>0</v>
      </c>
      <c r="J262" s="29">
        <f>J261</f>
        <v>0</v>
      </c>
      <c r="K262" s="29"/>
    </row>
    <row r="263" spans="5:11" s="28" customFormat="1" x14ac:dyDescent="0.25">
      <c r="F263" s="29"/>
      <c r="G263" s="29"/>
      <c r="J263" s="29"/>
      <c r="K263" s="29"/>
    </row>
    <row r="264" spans="5:11" s="28" customFormat="1" x14ac:dyDescent="0.25">
      <c r="E264" s="28">
        <v>36</v>
      </c>
      <c r="F264" s="29" t="str">
        <f>IFERROR(IF(E264&lt;=$G$150,E264,""),"")</f>
        <v/>
      </c>
      <c r="G264" s="29">
        <f>IFERROR(IF(F264="",0,($D$4/$G$155)*F264),0)</f>
        <v>0</v>
      </c>
      <c r="H264" s="28">
        <v>0</v>
      </c>
      <c r="I264" s="28">
        <v>0</v>
      </c>
      <c r="J264" s="29">
        <f>IFERROR(IF(K264="",0,($D$6/$J$155)*K264),0)</f>
        <v>0</v>
      </c>
      <c r="K264" s="29" t="str">
        <f>IFERROR(IF(E264&lt;=$J$150,E264,""),"")</f>
        <v/>
      </c>
    </row>
    <row r="265" spans="5:11" s="28" customFormat="1" x14ac:dyDescent="0.25">
      <c r="F265" s="29"/>
      <c r="G265" s="29">
        <f>G264</f>
        <v>0</v>
      </c>
      <c r="H265" s="28">
        <f>IF(F264="",0,($D$6/100)*$J$150)</f>
        <v>0</v>
      </c>
      <c r="I265" s="28">
        <f>IF(K264="",0,($D$4/100)*$G$150)</f>
        <v>0</v>
      </c>
      <c r="J265" s="29">
        <f>J264</f>
        <v>0</v>
      </c>
      <c r="K265" s="29"/>
    </row>
    <row r="266" spans="5:11" s="28" customFormat="1" x14ac:dyDescent="0.25">
      <c r="F266" s="29"/>
      <c r="G266" s="29"/>
      <c r="J266" s="29"/>
      <c r="K266" s="29"/>
    </row>
    <row r="267" spans="5:11" s="28" customFormat="1" x14ac:dyDescent="0.25">
      <c r="E267" s="28">
        <v>37</v>
      </c>
      <c r="F267" s="29" t="str">
        <f>IFERROR(IF(E267&lt;=$G$150,E267,""),"")</f>
        <v/>
      </c>
      <c r="G267" s="29">
        <f>IFERROR(IF(F267="",0,($D$4/$G$155)*F267),0)</f>
        <v>0</v>
      </c>
      <c r="H267" s="28">
        <v>0</v>
      </c>
      <c r="I267" s="28">
        <v>0</v>
      </c>
      <c r="J267" s="29">
        <f>IFERROR(IF(K267="",0,($D$6/$J$155)*K267),0)</f>
        <v>0</v>
      </c>
      <c r="K267" s="29" t="str">
        <f>IFERROR(IF(E267&lt;=$J$150,E267,""),"")</f>
        <v/>
      </c>
    </row>
    <row r="268" spans="5:11" s="28" customFormat="1" x14ac:dyDescent="0.25">
      <c r="F268" s="29"/>
      <c r="G268" s="29">
        <f>G267</f>
        <v>0</v>
      </c>
      <c r="H268" s="28">
        <f>IF(F267="",0,($D$6/100)*$J$150)</f>
        <v>0</v>
      </c>
      <c r="I268" s="28">
        <f>IF(K267="",0,($D$4/100)*$G$150)</f>
        <v>0</v>
      </c>
      <c r="J268" s="29">
        <f>J267</f>
        <v>0</v>
      </c>
      <c r="K268" s="29"/>
    </row>
    <row r="269" spans="5:11" s="28" customFormat="1" x14ac:dyDescent="0.25">
      <c r="F269" s="29"/>
      <c r="G269" s="29"/>
      <c r="J269" s="29"/>
      <c r="K269" s="29"/>
    </row>
    <row r="270" spans="5:11" s="28" customFormat="1" x14ac:dyDescent="0.25">
      <c r="E270" s="28">
        <v>38</v>
      </c>
      <c r="F270" s="29" t="str">
        <f>IFERROR(IF(E270&lt;=$G$150,E270,""),"")</f>
        <v/>
      </c>
      <c r="G270" s="29">
        <f>IFERROR(IF(F270="",0,($D$4/$G$155)*F270),0)</f>
        <v>0</v>
      </c>
      <c r="H270" s="28">
        <v>0</v>
      </c>
      <c r="I270" s="28">
        <v>0</v>
      </c>
      <c r="J270" s="29">
        <f>IFERROR(IF(K270="",0,($D$6/$J$155)*K270),0)</f>
        <v>0</v>
      </c>
      <c r="K270" s="29" t="str">
        <f>IFERROR(IF(E270&lt;=$J$150,E270,""),"")</f>
        <v/>
      </c>
    </row>
    <row r="271" spans="5:11" s="28" customFormat="1" x14ac:dyDescent="0.25">
      <c r="F271" s="29"/>
      <c r="G271" s="29">
        <f>G270</f>
        <v>0</v>
      </c>
      <c r="H271" s="28">
        <f>IF(F270="",0,($D$6/100)*$J$150)</f>
        <v>0</v>
      </c>
      <c r="I271" s="28">
        <f>IF(K270="",0,($D$4/100)*$G$150)</f>
        <v>0</v>
      </c>
      <c r="J271" s="29">
        <f>J270</f>
        <v>0</v>
      </c>
      <c r="K271" s="29"/>
    </row>
    <row r="272" spans="5:11" s="28" customFormat="1" x14ac:dyDescent="0.25">
      <c r="F272" s="29"/>
      <c r="G272" s="29"/>
      <c r="J272" s="29"/>
      <c r="K272" s="29"/>
    </row>
    <row r="273" spans="5:11" s="28" customFormat="1" x14ac:dyDescent="0.25">
      <c r="E273" s="28">
        <v>39</v>
      </c>
      <c r="F273" s="29" t="str">
        <f>IFERROR(IF(E273&lt;=$G$150,E273,""),"")</f>
        <v/>
      </c>
      <c r="G273" s="29">
        <f>IFERROR(IF(F273="",0,($D$4/$G$155)*F273),0)</f>
        <v>0</v>
      </c>
      <c r="H273" s="28">
        <v>0</v>
      </c>
      <c r="I273" s="28">
        <v>0</v>
      </c>
      <c r="J273" s="29">
        <f>IFERROR(IF(K273="",0,($D$6/$J$155)*K273),0)</f>
        <v>0</v>
      </c>
      <c r="K273" s="29" t="str">
        <f>IFERROR(IF(E273&lt;=$J$150,E273,""),"")</f>
        <v/>
      </c>
    </row>
    <row r="274" spans="5:11" s="28" customFormat="1" x14ac:dyDescent="0.25">
      <c r="F274" s="29"/>
      <c r="G274" s="29">
        <f>G273</f>
        <v>0</v>
      </c>
      <c r="H274" s="28">
        <f>IF(F273="",0,($D$6/100)*$J$150)</f>
        <v>0</v>
      </c>
      <c r="I274" s="28">
        <f>IF(K273="",0,($D$4/100)*$G$150)</f>
        <v>0</v>
      </c>
      <c r="J274" s="29">
        <f>J273</f>
        <v>0</v>
      </c>
      <c r="K274" s="29"/>
    </row>
    <row r="275" spans="5:11" s="28" customFormat="1" x14ac:dyDescent="0.25">
      <c r="F275" s="29"/>
      <c r="G275" s="29"/>
      <c r="J275" s="29"/>
      <c r="K275" s="29"/>
    </row>
    <row r="276" spans="5:11" s="28" customFormat="1" x14ac:dyDescent="0.25">
      <c r="E276" s="28">
        <v>40</v>
      </c>
      <c r="F276" s="29" t="str">
        <f>IFERROR(IF(E276&lt;=$G$150,E276,""),"")</f>
        <v/>
      </c>
      <c r="G276" s="29">
        <f>IFERROR(IF(F276="",0,($D$4/$G$155)*F276),0)</f>
        <v>0</v>
      </c>
      <c r="H276" s="28">
        <v>0</v>
      </c>
      <c r="I276" s="28">
        <v>0</v>
      </c>
      <c r="J276" s="29">
        <f>IFERROR(IF(K276="",0,($D$6/$J$155)*K276),0)</f>
        <v>0</v>
      </c>
      <c r="K276" s="29" t="str">
        <f>IFERROR(IF(E276&lt;=$J$150,E276,""),"")</f>
        <v/>
      </c>
    </row>
    <row r="277" spans="5:11" s="28" customFormat="1" x14ac:dyDescent="0.25">
      <c r="F277" s="29"/>
      <c r="G277" s="29">
        <f>G276</f>
        <v>0</v>
      </c>
      <c r="H277" s="28">
        <f>IF(F276="",0,($D$6/100)*$J$150)</f>
        <v>0</v>
      </c>
      <c r="I277" s="28">
        <f>IF(K276="",0,($D$4/100)*$G$150)</f>
        <v>0</v>
      </c>
      <c r="J277" s="29">
        <f>J276</f>
        <v>0</v>
      </c>
      <c r="K277" s="29"/>
    </row>
    <row r="278" spans="5:11" s="28" customFormat="1" x14ac:dyDescent="0.25">
      <c r="F278" s="29"/>
      <c r="G278" s="29"/>
      <c r="J278" s="29"/>
      <c r="K278" s="29"/>
    </row>
    <row r="279" spans="5:11" s="28" customFormat="1" x14ac:dyDescent="0.25">
      <c r="E279" s="28">
        <v>41</v>
      </c>
      <c r="F279" s="29" t="str">
        <f>IFERROR(IF(E279&lt;=$G$150,E279,""),"")</f>
        <v/>
      </c>
      <c r="G279" s="29">
        <f>IFERROR(IF(F279="",0,($D$4/$G$155)*F279),0)</f>
        <v>0</v>
      </c>
      <c r="H279" s="28">
        <v>0</v>
      </c>
      <c r="I279" s="28">
        <v>0</v>
      </c>
      <c r="J279" s="29">
        <f>IFERROR(IF(K279="",0,($D$6/$J$155)*K279),0)</f>
        <v>0</v>
      </c>
      <c r="K279" s="29" t="str">
        <f>IFERROR(IF(E279&lt;=$J$150,E279,""),"")</f>
        <v/>
      </c>
    </row>
    <row r="280" spans="5:11" s="28" customFormat="1" x14ac:dyDescent="0.25">
      <c r="F280" s="29"/>
      <c r="G280" s="29">
        <f>G279</f>
        <v>0</v>
      </c>
      <c r="H280" s="28">
        <f>IF(F279="",0,($D$6/100)*$J$150)</f>
        <v>0</v>
      </c>
      <c r="I280" s="28">
        <f>IF(K279="",0,($D$4/100)*$G$150)</f>
        <v>0</v>
      </c>
      <c r="J280" s="29">
        <f>J279</f>
        <v>0</v>
      </c>
      <c r="K280" s="29"/>
    </row>
    <row r="281" spans="5:11" s="28" customFormat="1" x14ac:dyDescent="0.25">
      <c r="F281" s="29"/>
      <c r="G281" s="29"/>
      <c r="J281" s="29"/>
      <c r="K281" s="29"/>
    </row>
    <row r="282" spans="5:11" s="28" customFormat="1" x14ac:dyDescent="0.25">
      <c r="E282" s="28">
        <v>42</v>
      </c>
      <c r="F282" s="29" t="str">
        <f>IFERROR(IF(E282&lt;=$G$150,E282,""),"")</f>
        <v/>
      </c>
      <c r="G282" s="29">
        <f>IFERROR(IF(F282="",0,($D$4/$G$155)*F282),0)</f>
        <v>0</v>
      </c>
      <c r="H282" s="28">
        <v>0</v>
      </c>
      <c r="I282" s="28">
        <v>0</v>
      </c>
      <c r="J282" s="29">
        <f>IFERROR(IF(K282="",0,($D$6/$J$155)*K282),0)</f>
        <v>0</v>
      </c>
      <c r="K282" s="29" t="str">
        <f>IFERROR(IF(E282&lt;=$J$150,E282,""),"")</f>
        <v/>
      </c>
    </row>
    <row r="283" spans="5:11" s="28" customFormat="1" x14ac:dyDescent="0.25">
      <c r="F283" s="29"/>
      <c r="G283" s="29">
        <f>G282</f>
        <v>0</v>
      </c>
      <c r="H283" s="28">
        <f>IF(F282="",0,($D$6/100)*$J$150)</f>
        <v>0</v>
      </c>
      <c r="I283" s="28">
        <f>IF(K282="",0,($D$4/100)*$G$150)</f>
        <v>0</v>
      </c>
      <c r="J283" s="29">
        <f>J282</f>
        <v>0</v>
      </c>
      <c r="K283" s="29"/>
    </row>
    <row r="284" spans="5:11" s="28" customFormat="1" x14ac:dyDescent="0.25">
      <c r="F284" s="29"/>
      <c r="G284" s="29"/>
      <c r="J284" s="29"/>
      <c r="K284" s="29"/>
    </row>
    <row r="285" spans="5:11" s="28" customFormat="1" x14ac:dyDescent="0.25">
      <c r="E285" s="28">
        <v>43</v>
      </c>
      <c r="F285" s="29" t="str">
        <f>IFERROR(IF(E285&lt;=$G$150,E285,""),"")</f>
        <v/>
      </c>
      <c r="G285" s="29">
        <f>IFERROR(IF(F285="",0,($D$4/$G$155)*F285),0)</f>
        <v>0</v>
      </c>
      <c r="H285" s="28">
        <v>0</v>
      </c>
      <c r="I285" s="28">
        <v>0</v>
      </c>
      <c r="J285" s="29">
        <f>IFERROR(IF(K285="",0,($D$6/$J$155)*K285),0)</f>
        <v>0</v>
      </c>
      <c r="K285" s="29" t="str">
        <f>IFERROR(IF(E285&lt;=$J$150,E285,""),"")</f>
        <v/>
      </c>
    </row>
    <row r="286" spans="5:11" s="28" customFormat="1" x14ac:dyDescent="0.25">
      <c r="F286" s="29"/>
      <c r="G286" s="29">
        <f>G285</f>
        <v>0</v>
      </c>
      <c r="H286" s="28">
        <f>IF(F285="",0,($D$6/100)*$J$150)</f>
        <v>0</v>
      </c>
      <c r="I286" s="28">
        <f>IF(K285="",0,($D$4/100)*$G$150)</f>
        <v>0</v>
      </c>
      <c r="J286" s="29">
        <f>J285</f>
        <v>0</v>
      </c>
      <c r="K286" s="29"/>
    </row>
    <row r="287" spans="5:11" s="28" customFormat="1" x14ac:dyDescent="0.25">
      <c r="F287" s="29"/>
      <c r="G287" s="29"/>
      <c r="J287" s="29"/>
      <c r="K287" s="29"/>
    </row>
    <row r="288" spans="5:11" s="28" customFormat="1" x14ac:dyDescent="0.25">
      <c r="E288" s="28">
        <v>44</v>
      </c>
      <c r="F288" s="29" t="str">
        <f>IFERROR(IF(E288&lt;=$G$150,E288,""),"")</f>
        <v/>
      </c>
      <c r="G288" s="29">
        <f>IFERROR(IF(F288="",0,($D$4/$G$155)*F288),0)</f>
        <v>0</v>
      </c>
      <c r="H288" s="28">
        <v>0</v>
      </c>
      <c r="I288" s="28">
        <v>0</v>
      </c>
      <c r="J288" s="29">
        <f>IFERROR(IF(K288="",0,($D$6/$J$155)*K288),0)</f>
        <v>0</v>
      </c>
      <c r="K288" s="29" t="str">
        <f>IFERROR(IF(E288&lt;=$J$150,E288,""),"")</f>
        <v/>
      </c>
    </row>
    <row r="289" spans="5:11" s="28" customFormat="1" x14ac:dyDescent="0.25">
      <c r="F289" s="29"/>
      <c r="G289" s="29">
        <f>G288</f>
        <v>0</v>
      </c>
      <c r="H289" s="28">
        <f>IF(F288="",0,($D$6/100)*$J$150)</f>
        <v>0</v>
      </c>
      <c r="I289" s="28">
        <f>IF(K288="",0,($D$4/100)*$G$150)</f>
        <v>0</v>
      </c>
      <c r="J289" s="29">
        <f>J288</f>
        <v>0</v>
      </c>
      <c r="K289" s="29"/>
    </row>
    <row r="290" spans="5:11" s="28" customFormat="1" x14ac:dyDescent="0.25">
      <c r="F290" s="29"/>
      <c r="G290" s="29"/>
      <c r="J290" s="29"/>
      <c r="K290" s="29"/>
    </row>
    <row r="291" spans="5:11" s="28" customFormat="1" x14ac:dyDescent="0.25">
      <c r="E291" s="28">
        <v>45</v>
      </c>
      <c r="F291" s="29" t="str">
        <f>IFERROR(IF(E291&lt;=$G$150,E291,""),"")</f>
        <v/>
      </c>
      <c r="G291" s="29">
        <f>IFERROR(IF(F291="",0,($D$4/$G$155)*F291),0)</f>
        <v>0</v>
      </c>
      <c r="H291" s="28">
        <v>0</v>
      </c>
      <c r="I291" s="28">
        <v>0</v>
      </c>
      <c r="J291" s="29">
        <f>IFERROR(IF(K291="",0,($D$6/$J$155)*K291),0)</f>
        <v>0</v>
      </c>
      <c r="K291" s="29" t="str">
        <f>IFERROR(IF(E291&lt;=$J$150,E291,""),"")</f>
        <v/>
      </c>
    </row>
    <row r="292" spans="5:11" s="28" customFormat="1" x14ac:dyDescent="0.25">
      <c r="F292" s="29"/>
      <c r="G292" s="29">
        <f>G291</f>
        <v>0</v>
      </c>
      <c r="H292" s="28">
        <f>IF(F291="",0,($D$6/100)*$J$150)</f>
        <v>0</v>
      </c>
      <c r="I292" s="28">
        <f>IF(K291="",0,($D$4/100)*$G$150)</f>
        <v>0</v>
      </c>
      <c r="J292" s="29">
        <f>J291</f>
        <v>0</v>
      </c>
      <c r="K292" s="29"/>
    </row>
    <row r="293" spans="5:11" s="28" customFormat="1" x14ac:dyDescent="0.25">
      <c r="F293" s="29"/>
      <c r="G293" s="29"/>
      <c r="J293" s="29"/>
      <c r="K293" s="29"/>
    </row>
    <row r="294" spans="5:11" s="28" customFormat="1" x14ac:dyDescent="0.25">
      <c r="E294" s="28">
        <v>46</v>
      </c>
      <c r="F294" s="29" t="str">
        <f>IFERROR(IF(E294&lt;=$G$150,E294,""),"")</f>
        <v/>
      </c>
      <c r="G294" s="29">
        <f>IFERROR(IF(F294="",0,($D$4/$G$155)*F294),0)</f>
        <v>0</v>
      </c>
      <c r="H294" s="28">
        <v>0</v>
      </c>
      <c r="I294" s="28">
        <v>0</v>
      </c>
      <c r="J294" s="29">
        <f>IFERROR(IF(K294="",0,($D$6/$J$155)*K294),0)</f>
        <v>0</v>
      </c>
      <c r="K294" s="29" t="str">
        <f>IFERROR(IF(E294&lt;=$J$150,E294,""),"")</f>
        <v/>
      </c>
    </row>
    <row r="295" spans="5:11" s="28" customFormat="1" x14ac:dyDescent="0.25">
      <c r="F295" s="29"/>
      <c r="G295" s="29">
        <f>G294</f>
        <v>0</v>
      </c>
      <c r="H295" s="28">
        <f>IF(F294="",0,($D$6/100)*$J$150)</f>
        <v>0</v>
      </c>
      <c r="I295" s="28">
        <f>IF(K294="",0,($D$4/100)*$G$150)</f>
        <v>0</v>
      </c>
      <c r="J295" s="29">
        <f>J294</f>
        <v>0</v>
      </c>
      <c r="K295" s="29"/>
    </row>
    <row r="296" spans="5:11" s="28" customFormat="1" x14ac:dyDescent="0.25">
      <c r="F296" s="29"/>
      <c r="G296" s="29"/>
      <c r="J296" s="29"/>
      <c r="K296" s="29"/>
    </row>
    <row r="297" spans="5:11" s="28" customFormat="1" x14ac:dyDescent="0.25">
      <c r="E297" s="28">
        <v>47</v>
      </c>
      <c r="F297" s="29" t="str">
        <f>IFERROR(IF(E297&lt;=$G$150,E297,""),"")</f>
        <v/>
      </c>
      <c r="G297" s="29">
        <f>IFERROR(IF(F297="",0,($D$4/$G$155)*F297),0)</f>
        <v>0</v>
      </c>
      <c r="H297" s="28">
        <v>0</v>
      </c>
      <c r="I297" s="28">
        <v>0</v>
      </c>
      <c r="J297" s="29">
        <f>IFERROR(IF(K297="",0,($D$6/$J$155)*K297),0)</f>
        <v>0</v>
      </c>
      <c r="K297" s="29" t="str">
        <f>IFERROR(IF(E297&lt;=$J$150,E297,""),"")</f>
        <v/>
      </c>
    </row>
    <row r="298" spans="5:11" s="28" customFormat="1" x14ac:dyDescent="0.25">
      <c r="F298" s="29"/>
      <c r="G298" s="29">
        <f>G297</f>
        <v>0</v>
      </c>
      <c r="H298" s="28">
        <f>IF(F297="",0,($D$6/100)*$J$150)</f>
        <v>0</v>
      </c>
      <c r="I298" s="28">
        <f>IF(K297="",0,($D$4/100)*$G$150)</f>
        <v>0</v>
      </c>
      <c r="J298" s="29">
        <f>J297</f>
        <v>0</v>
      </c>
      <c r="K298" s="29"/>
    </row>
    <row r="299" spans="5:11" s="28" customFormat="1" x14ac:dyDescent="0.25">
      <c r="F299" s="29"/>
      <c r="G299" s="29"/>
      <c r="J299" s="29"/>
      <c r="K299" s="29"/>
    </row>
    <row r="300" spans="5:11" s="28" customFormat="1" x14ac:dyDescent="0.25">
      <c r="E300" s="28">
        <v>48</v>
      </c>
      <c r="F300" s="29" t="str">
        <f>IFERROR(IF(E300&lt;=$G$150,E300,""),"")</f>
        <v/>
      </c>
      <c r="G300" s="29">
        <f>IFERROR(IF(F300="",0,($D$4/$G$155)*F300),0)</f>
        <v>0</v>
      </c>
      <c r="H300" s="28">
        <v>0</v>
      </c>
      <c r="I300" s="28">
        <v>0</v>
      </c>
      <c r="J300" s="29">
        <f>IFERROR(IF(K300="",0,($D$6/$J$155)*K300),0)</f>
        <v>0</v>
      </c>
      <c r="K300" s="29" t="str">
        <f>IFERROR(IF(E300&lt;=$J$150,E300,""),"")</f>
        <v/>
      </c>
    </row>
    <row r="301" spans="5:11" s="28" customFormat="1" x14ac:dyDescent="0.25">
      <c r="F301" s="29"/>
      <c r="G301" s="29">
        <f>G300</f>
        <v>0</v>
      </c>
      <c r="H301" s="28">
        <f>IF(F300="",0,($D$6/100)*$J$150)</f>
        <v>0</v>
      </c>
      <c r="I301" s="28">
        <f>IF(K300="",0,($D$4/100)*$G$150)</f>
        <v>0</v>
      </c>
      <c r="J301" s="29">
        <f>J300</f>
        <v>0</v>
      </c>
      <c r="K301" s="29"/>
    </row>
    <row r="302" spans="5:11" s="28" customFormat="1" x14ac:dyDescent="0.25">
      <c r="F302" s="29"/>
      <c r="G302" s="29"/>
      <c r="J302" s="29"/>
      <c r="K302" s="29"/>
    </row>
    <row r="303" spans="5:11" s="28" customFormat="1" x14ac:dyDescent="0.25">
      <c r="E303" s="28">
        <v>49</v>
      </c>
      <c r="F303" s="29" t="str">
        <f>IFERROR(IF(E303&lt;=$G$150,E303,""),"")</f>
        <v/>
      </c>
      <c r="G303" s="29">
        <f>IFERROR(IF(F303="",0,($D$4/$G$155)*F303),0)</f>
        <v>0</v>
      </c>
      <c r="H303" s="28">
        <v>0</v>
      </c>
      <c r="I303" s="28">
        <v>0</v>
      </c>
      <c r="J303" s="29">
        <f>IFERROR(IF(K303="",0,($D$6/$J$155)*K303),0)</f>
        <v>0</v>
      </c>
      <c r="K303" s="29" t="str">
        <f>IFERROR(IF(E303&lt;=$J$150,E303,""),"")</f>
        <v/>
      </c>
    </row>
    <row r="304" spans="5:11" s="28" customFormat="1" x14ac:dyDescent="0.25">
      <c r="F304" s="29"/>
      <c r="G304" s="29">
        <f>G303</f>
        <v>0</v>
      </c>
      <c r="H304" s="28">
        <f>IF(F303="",0,($D$6/100)*$J$150)</f>
        <v>0</v>
      </c>
      <c r="I304" s="28">
        <f>IF(K303="",0,($D$4/100)*$G$150)</f>
        <v>0</v>
      </c>
      <c r="J304" s="29">
        <f>J303</f>
        <v>0</v>
      </c>
      <c r="K304" s="29"/>
    </row>
    <row r="305" spans="5:11" s="28" customFormat="1" x14ac:dyDescent="0.25">
      <c r="F305" s="29"/>
      <c r="G305" s="29"/>
      <c r="J305" s="29"/>
      <c r="K305" s="29"/>
    </row>
    <row r="306" spans="5:11" s="28" customFormat="1" x14ac:dyDescent="0.25">
      <c r="E306" s="28">
        <v>50</v>
      </c>
      <c r="F306" s="29" t="str">
        <f>IFERROR(IF(E306&lt;=$G$150,E306,""),"")</f>
        <v/>
      </c>
      <c r="G306" s="29">
        <f>IFERROR(IF(F306="",0,($D$4/$G$155)*F306),0)</f>
        <v>0</v>
      </c>
      <c r="H306" s="28">
        <v>0</v>
      </c>
      <c r="I306" s="28">
        <v>0</v>
      </c>
      <c r="J306" s="29">
        <f>IFERROR(IF(K306="",0,($D$6/$J$155)*K306),0)</f>
        <v>0</v>
      </c>
      <c r="K306" s="29" t="str">
        <f>IFERROR(IF(E306&lt;=$J$150,E306,""),"")</f>
        <v/>
      </c>
    </row>
    <row r="307" spans="5:11" s="28" customFormat="1" x14ac:dyDescent="0.25">
      <c r="G307" s="29">
        <f>G306</f>
        <v>0</v>
      </c>
      <c r="H307" s="28">
        <f>IF(F306="",0,($D$6/100)*$J$150)</f>
        <v>0</v>
      </c>
      <c r="I307" s="28">
        <f>IF(K306="",0,($D$4/100)*$G$150)</f>
        <v>0</v>
      </c>
      <c r="J307" s="29">
        <f>J306</f>
        <v>0</v>
      </c>
      <c r="K307" s="29"/>
    </row>
    <row r="308" spans="5:11" x14ac:dyDescent="0.25">
      <c r="G308" s="26"/>
      <c r="J308" s="26"/>
    </row>
  </sheetData>
  <sheetProtection algorithmName="SHA-512" hashValue="CY5tJecKa/6rTr39UM7NXsgiDXbhhokJrokNJG5/tTU2qFVgKVMa/lt/kwf8ntfwyiaXZO02GTllYUOWgkCntQ==" saltValue="69rvSjvxpxu9bQcLf8DNBQ==" spinCount="100000" sheet="1" objects="1" scenarios="1"/>
  <mergeCells count="11">
    <mergeCell ref="O31:P31"/>
    <mergeCell ref="R22:T22"/>
    <mergeCell ref="J30:K30"/>
    <mergeCell ref="J29:K29"/>
    <mergeCell ref="J28:K28"/>
    <mergeCell ref="J27:K27"/>
    <mergeCell ref="J26:K26"/>
    <mergeCell ref="A9:B9"/>
    <mergeCell ref="N22:P22"/>
    <mergeCell ref="N2:O2"/>
    <mergeCell ref="L2:M2"/>
  </mergeCells>
  <conditionalFormatting sqref="J24">
    <cfRule type="containsBlanks" dxfId="2" priority="2">
      <formula>LEN(TRIM(J24))=0</formula>
    </cfRule>
  </conditionalFormatting>
  <conditionalFormatting sqref="J26:P30 O31:P31">
    <cfRule type="containsBlanks" dxfId="0" priority="1">
      <formula>LEN(TRIM(J26))=0</formula>
    </cfRule>
  </conditionalFormatting>
  <dataValidations count="4">
    <dataValidation type="list" allowBlank="1" showInputMessage="1" showErrorMessage="1" sqref="D2" xr:uid="{97D81B8D-6BFA-4B72-BF93-BB12E428AB08}">
      <formula1>"cerámica,porcelanato"</formula1>
    </dataValidation>
    <dataValidation type="list" allowBlank="1" showInputMessage="1" showErrorMessage="1" sqref="N2" xr:uid="{A33979EC-F606-4502-A8B9-687E55B0EF75}">
      <formula1>"interior,extra fuerte,blanco flexible"</formula1>
    </dataValidation>
    <dataValidation type="list" allowBlank="1" showInputMessage="1" showErrorMessage="1" sqref="P6" xr:uid="{3D1FEED3-48CC-4252-9C6D-FD0187F4F3D0}">
      <formula1>"simple,doble"</formula1>
    </dataValidation>
    <dataValidation type="list" allowBlank="1" showInputMessage="1" showErrorMessage="1" sqref="P8" xr:uid="{997EEDB8-76B6-4D40-BD52-B5D32D131E56}">
      <formula1>"nivelado,desnivelado"</formula1>
    </dataValidation>
  </dataValidations>
  <pageMargins left="0.7" right="0.7" top="0.75" bottom="0.75" header="0.3" footer="0.3"/>
  <pageSetup paperSize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ACABADOS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Heb MERMA</dc:creator>
  <cp:keywords>hebmerma.com</cp:keywords>
  <cp:lastModifiedBy>Heb MERMA</cp:lastModifiedBy>
  <dcterms:created xsi:type="dcterms:W3CDTF">2025-08-27T20:32:12Z</dcterms:created>
  <dcterms:modified xsi:type="dcterms:W3CDTF">2025-09-05T05:51:48Z</dcterms:modified>
</cp:coreProperties>
</file>