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Henrry\Desktop\"/>
    </mc:Choice>
  </mc:AlternateContent>
  <bookViews>
    <workbookView xWindow="120" yWindow="705" windowWidth="20115" windowHeight="7905" tabRatio="772" activeTab="1"/>
  </bookViews>
  <sheets>
    <sheet name="Zap. Centrica Aislada" sheetId="1" r:id="rId1"/>
    <sheet name="Combinada Rectangular" sheetId="4" r:id="rId2"/>
    <sheet name="Parametros" sheetId="3" r:id="rId3"/>
    <sheet name="Hoja1" sheetId="8" r:id="rId4"/>
    <sheet name="Hoja2" sheetId="9" r:id="rId5"/>
  </sheets>
  <definedNames>
    <definedName name="_xlnm._FilterDatabase" localSheetId="3" hidden="1">Hoja1!$B$2:$J$210</definedName>
  </definedNames>
  <calcPr calcId="152511"/>
</workbook>
</file>

<file path=xl/calcChain.xml><?xml version="1.0" encoding="utf-8"?>
<calcChain xmlns="http://schemas.openxmlformats.org/spreadsheetml/2006/main">
  <c r="B4" i="1" l="1"/>
  <c r="B5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N61" i="1" s="1"/>
  <c r="P62" i="1"/>
  <c r="N62" i="1" s="1"/>
  <c r="P63" i="1"/>
  <c r="N63" i="1" s="1"/>
  <c r="P64" i="1"/>
  <c r="P65" i="1"/>
  <c r="N65" i="1" s="1"/>
  <c r="P66" i="1"/>
  <c r="N66" i="1" s="1"/>
  <c r="O24" i="1"/>
  <c r="N24" i="1" s="1"/>
  <c r="O25" i="1"/>
  <c r="O26" i="1"/>
  <c r="N26" i="1" s="1"/>
  <c r="O27" i="1"/>
  <c r="N27" i="1" s="1"/>
  <c r="O28" i="1"/>
  <c r="N28" i="1" s="1"/>
  <c r="O29" i="1"/>
  <c r="O30" i="1"/>
  <c r="N30" i="1" s="1"/>
  <c r="O31" i="1"/>
  <c r="N31" i="1" s="1"/>
  <c r="O32" i="1"/>
  <c r="N32" i="1" s="1"/>
  <c r="O33" i="1"/>
  <c r="O34" i="1"/>
  <c r="N34" i="1" s="1"/>
  <c r="O35" i="1"/>
  <c r="N35" i="1" s="1"/>
  <c r="O36" i="1"/>
  <c r="N36" i="1" s="1"/>
  <c r="O37" i="1"/>
  <c r="O38" i="1"/>
  <c r="N38" i="1" s="1"/>
  <c r="O39" i="1"/>
  <c r="N39" i="1" s="1"/>
  <c r="O40" i="1"/>
  <c r="N40" i="1" s="1"/>
  <c r="O41" i="1"/>
  <c r="O42" i="1"/>
  <c r="N42" i="1" s="1"/>
  <c r="O43" i="1"/>
  <c r="N43" i="1" s="1"/>
  <c r="O44" i="1"/>
  <c r="N44" i="1" s="1"/>
  <c r="O45" i="1"/>
  <c r="O46" i="1"/>
  <c r="N46" i="1" s="1"/>
  <c r="O47" i="1"/>
  <c r="N47" i="1" s="1"/>
  <c r="O48" i="1"/>
  <c r="N48" i="1" s="1"/>
  <c r="O49" i="1"/>
  <c r="O50" i="1"/>
  <c r="N50" i="1" s="1"/>
  <c r="O51" i="1"/>
  <c r="N51" i="1" s="1"/>
  <c r="O52" i="1"/>
  <c r="N52" i="1" s="1"/>
  <c r="O53" i="1"/>
  <c r="O54" i="1"/>
  <c r="O55" i="1"/>
  <c r="N55" i="1" s="1"/>
  <c r="O56" i="1"/>
  <c r="N56" i="1" s="1"/>
  <c r="O57" i="1"/>
  <c r="O58" i="1"/>
  <c r="O59" i="1"/>
  <c r="O60" i="1"/>
  <c r="N60" i="1" s="1"/>
  <c r="O61" i="1"/>
  <c r="O62" i="1"/>
  <c r="O63" i="1"/>
  <c r="O64" i="1"/>
  <c r="O65" i="1"/>
  <c r="O66" i="1"/>
  <c r="N25" i="1"/>
  <c r="N29" i="1"/>
  <c r="N33" i="1"/>
  <c r="N37" i="1"/>
  <c r="N41" i="1"/>
  <c r="N45" i="1"/>
  <c r="N49" i="1"/>
  <c r="N53" i="1"/>
  <c r="N54" i="1"/>
  <c r="N57" i="1"/>
  <c r="N58" i="1"/>
  <c r="N59" i="1"/>
  <c r="N64" i="1"/>
  <c r="P23" i="1" l="1"/>
  <c r="O23" i="1"/>
  <c r="B9" i="1"/>
  <c r="B8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N22" i="1" s="1"/>
  <c r="P2" i="1"/>
  <c r="O2" i="1"/>
  <c r="N101" i="1"/>
  <c r="N102" i="1"/>
  <c r="N104" i="1"/>
  <c r="N23" i="1" l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2" i="1"/>
  <c r="C19" i="1" l="1"/>
  <c r="C49" i="1"/>
  <c r="N15" i="1" l="1"/>
  <c r="N16" i="1"/>
  <c r="N17" i="1"/>
  <c r="N18" i="1"/>
  <c r="N19" i="1"/>
  <c r="N20" i="1"/>
  <c r="N21" i="1"/>
  <c r="N13" i="1"/>
  <c r="N9" i="1"/>
  <c r="N11" i="1"/>
  <c r="N12" i="1" l="1"/>
  <c r="N10" i="1"/>
  <c r="N8" i="1"/>
  <c r="N14" i="1"/>
  <c r="N6" i="1" l="1"/>
  <c r="N7" i="1"/>
  <c r="N5" i="1"/>
  <c r="M117" i="1"/>
  <c r="K111" i="1"/>
  <c r="N3" i="1" l="1"/>
  <c r="N4" i="1"/>
  <c r="E23" i="1" l="1"/>
  <c r="N2" i="1"/>
  <c r="P79" i="1" l="1"/>
  <c r="N82" i="1"/>
  <c r="P82" i="1" s="1"/>
  <c r="H83" i="1"/>
  <c r="N86" i="1" l="1"/>
  <c r="K110" i="1" l="1"/>
  <c r="N105" i="1"/>
  <c r="G7" i="3"/>
  <c r="F107" i="1" l="1"/>
  <c r="F108" i="1"/>
  <c r="B112" i="1" s="1"/>
  <c r="F132" i="1"/>
  <c r="K134" i="1" s="1"/>
  <c r="O135" i="1"/>
  <c r="O134" i="1"/>
  <c r="Q137" i="1"/>
  <c r="Q136" i="1"/>
  <c r="S125" i="1"/>
  <c r="D125" i="1"/>
  <c r="D123" i="1"/>
  <c r="F124" i="1" s="1"/>
  <c r="D122" i="1"/>
  <c r="O123" i="1"/>
  <c r="O122" i="1"/>
  <c r="T121" i="1"/>
  <c r="O121" i="1"/>
  <c r="Q122" i="1"/>
  <c r="Q121" i="1"/>
  <c r="D120" i="1" l="1"/>
  <c r="H107" i="1"/>
  <c r="H108" i="1"/>
  <c r="K231" i="4"/>
  <c r="I233" i="4" s="1"/>
  <c r="H224" i="4"/>
  <c r="J223" i="4" s="1"/>
  <c r="H222" i="4"/>
  <c r="K217" i="4"/>
  <c r="I219" i="4" s="1"/>
  <c r="H121" i="1" l="1"/>
  <c r="J121" i="1" s="1"/>
  <c r="I127" i="1" s="1"/>
  <c r="E136" i="1" s="1"/>
  <c r="K195" i="4"/>
  <c r="G196" i="4" s="1"/>
  <c r="K188" i="4"/>
  <c r="G190" i="4" s="1"/>
  <c r="I179" i="4"/>
  <c r="I120" i="4"/>
  <c r="I95" i="4"/>
  <c r="J89" i="4"/>
  <c r="E108" i="4" s="1"/>
  <c r="J85" i="4"/>
  <c r="I63" i="4"/>
  <c r="I53" i="4"/>
  <c r="D44" i="4"/>
  <c r="E107" i="4" l="1"/>
  <c r="D201" i="4"/>
  <c r="D200" i="4"/>
  <c r="G152" i="4"/>
  <c r="G162" i="4"/>
  <c r="G161" i="4"/>
  <c r="G163" i="4"/>
  <c r="G154" i="4"/>
  <c r="G153" i="4"/>
  <c r="K111" i="4"/>
  <c r="E106" i="4"/>
  <c r="E36" i="4"/>
  <c r="D53" i="4"/>
  <c r="E228" i="4" s="1"/>
  <c r="E229" i="4" s="1"/>
  <c r="E230" i="4" s="1"/>
  <c r="E231" i="4" s="1"/>
  <c r="E233" i="4" s="1"/>
  <c r="D52" i="4"/>
  <c r="E214" i="4" s="1"/>
  <c r="E215" i="4" s="1"/>
  <c r="E216" i="4" s="1"/>
  <c r="E217" i="4" s="1"/>
  <c r="E219" i="4" s="1"/>
  <c r="J153" i="4" l="1"/>
  <c r="J162" i="4"/>
  <c r="D54" i="4"/>
  <c r="J106" i="4" s="1"/>
  <c r="D40" i="4"/>
  <c r="D41" i="4" s="1"/>
  <c r="D45" i="4" s="1"/>
  <c r="J77" i="4" l="1"/>
  <c r="J78" i="4" s="1"/>
  <c r="G192" i="4"/>
  <c r="G193" i="4" s="1"/>
  <c r="D42" i="4"/>
  <c r="D43" i="4" s="1"/>
  <c r="J107" i="4"/>
  <c r="J108" i="4"/>
  <c r="I52" i="4"/>
  <c r="I54" i="4" s="1"/>
  <c r="C35" i="1"/>
  <c r="H90" i="1"/>
  <c r="H89" i="1"/>
  <c r="H80" i="1"/>
  <c r="E42" i="1"/>
  <c r="E60" i="1"/>
  <c r="C53" i="1"/>
  <c r="H82" i="1" l="1"/>
  <c r="H91" i="1"/>
  <c r="J91" i="1" s="1"/>
  <c r="H93" i="1" s="1"/>
  <c r="H94" i="1" s="1"/>
  <c r="G194" i="4"/>
  <c r="K192" i="4" s="1"/>
  <c r="J79" i="4"/>
  <c r="J80" i="4" s="1"/>
  <c r="G185" i="4"/>
  <c r="G186" i="4" s="1"/>
  <c r="G187" i="4" s="1"/>
  <c r="K185" i="4" s="1"/>
  <c r="G150" i="4"/>
  <c r="K150" i="4" s="1"/>
  <c r="F156" i="4" s="1"/>
  <c r="G159" i="4"/>
  <c r="K159" i="4" s="1"/>
  <c r="F165" i="4" s="1"/>
  <c r="G110" i="4"/>
  <c r="G111" i="4" s="1"/>
  <c r="F113" i="4" s="1"/>
  <c r="C76" i="1"/>
  <c r="E72" i="1" s="1"/>
  <c r="C70" i="1"/>
  <c r="E62" i="1" s="1"/>
  <c r="G3" i="3"/>
  <c r="G4" i="3"/>
  <c r="G5" i="3"/>
  <c r="J99" i="1" s="1"/>
  <c r="G6" i="3"/>
  <c r="K186" i="4" s="1"/>
  <c r="G2" i="3"/>
  <c r="C36" i="1"/>
  <c r="C37" i="1" s="1"/>
  <c r="C43" i="1" s="1"/>
  <c r="C31" i="1"/>
  <c r="C30" i="1"/>
  <c r="C23" i="1"/>
  <c r="D21" i="1" s="1"/>
  <c r="P85" i="1" l="1"/>
  <c r="N83" i="1" s="1"/>
  <c r="B27" i="1"/>
  <c r="E31" i="1"/>
  <c r="F96" i="1"/>
  <c r="F86" i="1"/>
  <c r="E96" i="1"/>
  <c r="E86" i="1"/>
  <c r="K187" i="4"/>
  <c r="C68" i="1"/>
  <c r="K229" i="4"/>
  <c r="K230" i="4" s="1"/>
  <c r="K215" i="4"/>
  <c r="K216" i="4" s="1"/>
  <c r="K193" i="4"/>
  <c r="K194" i="4" s="1"/>
  <c r="D95" i="1"/>
  <c r="D85" i="1"/>
  <c r="B28" i="1"/>
  <c r="C63" i="1"/>
  <c r="C55" i="1"/>
  <c r="P83" i="1" l="1"/>
  <c r="I50" i="1"/>
  <c r="C64" i="1"/>
  <c r="C65" i="1" s="1"/>
  <c r="C67" i="1" s="1"/>
  <c r="C69" i="1" s="1"/>
  <c r="C46" i="1"/>
  <c r="F48" i="1" s="1"/>
  <c r="G98" i="1"/>
  <c r="F100" i="1" s="1"/>
  <c r="I98" i="1" s="1"/>
  <c r="M77" i="1"/>
  <c r="N74" i="1"/>
  <c r="C54" i="1"/>
  <c r="C74" i="1" l="1"/>
  <c r="C75" i="1" s="1"/>
  <c r="E55" i="1"/>
</calcChain>
</file>

<file path=xl/comments1.xml><?xml version="1.0" encoding="utf-8"?>
<comments xmlns="http://schemas.openxmlformats.org/spreadsheetml/2006/main">
  <authors>
    <author>SAHEP PERÚ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Espesor del Piso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Para la Zapata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Para la Columna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SAHEP PERÚ</author>
  </authors>
  <commentList>
    <comment ref="K4" authorId="0" shapeId="0">
      <text>
        <r>
          <rPr>
            <b/>
            <sz val="9"/>
            <color indexed="81"/>
            <rFont val="Tahoma"/>
            <family val="2"/>
          </rPr>
          <t>Altura del Relleno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Espesor del Piso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Para la Zapata</t>
        </r>
      </text>
    </comment>
  </commentList>
</comments>
</file>

<file path=xl/sharedStrings.xml><?xml version="1.0" encoding="utf-8"?>
<sst xmlns="http://schemas.openxmlformats.org/spreadsheetml/2006/main" count="1328" uniqueCount="286">
  <si>
    <t>Pd  =</t>
  </si>
  <si>
    <t>Pl  =</t>
  </si>
  <si>
    <t>S/C  =</t>
  </si>
  <si>
    <t>ϒm  =</t>
  </si>
  <si>
    <t>σt  =</t>
  </si>
  <si>
    <t>f'c  =</t>
  </si>
  <si>
    <t>fy  =</t>
  </si>
  <si>
    <t>Kg</t>
  </si>
  <si>
    <t>m</t>
  </si>
  <si>
    <t>Kg/m2</t>
  </si>
  <si>
    <t>Kg/m3</t>
  </si>
  <si>
    <t>Kg/cm2</t>
  </si>
  <si>
    <t>1°</t>
  </si>
  <si>
    <t>Esfuerzo Neto del Terreno</t>
  </si>
  <si>
    <t>hc  =</t>
  </si>
  <si>
    <t>σn  =</t>
  </si>
  <si>
    <t>2°</t>
  </si>
  <si>
    <t>Area de la Zapata</t>
  </si>
  <si>
    <t>Azap  =</t>
  </si>
  <si>
    <t>cm2</t>
  </si>
  <si>
    <t>Debe Cumplir que Lv1 = Lv2:</t>
  </si>
  <si>
    <t>t2  =</t>
  </si>
  <si>
    <t>t1  =</t>
  </si>
  <si>
    <t>Lv1 = Lv2 =</t>
  </si>
  <si>
    <t>=</t>
  </si>
  <si>
    <t>3°</t>
  </si>
  <si>
    <t>Reaccion Neta del Terreno</t>
  </si>
  <si>
    <t>4°</t>
  </si>
  <si>
    <t>Dimensionamiento de la altura hz de la Zapata</t>
  </si>
  <si>
    <t>φ  =</t>
  </si>
  <si>
    <t>Vu  =</t>
  </si>
  <si>
    <t xml:space="preserve">d  = </t>
  </si>
  <si>
    <t>cm</t>
  </si>
  <si>
    <t>Varilla</t>
  </si>
  <si>
    <t>Diámetro</t>
  </si>
  <si>
    <t>Area</t>
  </si>
  <si>
    <t>3/8"</t>
  </si>
  <si>
    <t>1/2"</t>
  </si>
  <si>
    <t>5/8"</t>
  </si>
  <si>
    <t>3/4"</t>
  </si>
  <si>
    <t>1"</t>
  </si>
  <si>
    <t>r  =</t>
  </si>
  <si>
    <t>● Verificación por Cortante</t>
  </si>
  <si>
    <t>● Por Punzonamiento</t>
  </si>
  <si>
    <t>Vdu  =</t>
  </si>
  <si>
    <t>5°</t>
  </si>
  <si>
    <t>Diseño por Flexión</t>
  </si>
  <si>
    <t>Kg - m</t>
  </si>
  <si>
    <t>Mu  =</t>
  </si>
  <si>
    <t>Ru  =</t>
  </si>
  <si>
    <t>ρ  =</t>
  </si>
  <si>
    <t>ρmin  =</t>
  </si>
  <si>
    <t>As  =</t>
  </si>
  <si>
    <t>Av  =</t>
  </si>
  <si>
    <t># var  =</t>
  </si>
  <si>
    <t>varillas</t>
  </si>
  <si>
    <t>Esp.  S  =</t>
  </si>
  <si>
    <t>● Dirección Longitudinal</t>
  </si>
  <si>
    <t>● Dirección Transversal</t>
  </si>
  <si>
    <t>Ast  =</t>
  </si>
  <si>
    <t>6°</t>
  </si>
  <si>
    <t>Transferencia de Carga de la Columna a la Zapata</t>
  </si>
  <si>
    <t>NTE E.060</t>
  </si>
  <si>
    <t>Tensión</t>
  </si>
  <si>
    <t>Compresión</t>
  </si>
  <si>
    <t>Cortante</t>
  </si>
  <si>
    <t>Coeficientes  φ  para Diseño</t>
  </si>
  <si>
    <t>Factores φ</t>
  </si>
  <si>
    <t>Carga Muerta</t>
  </si>
  <si>
    <t>Carga Viva</t>
  </si>
  <si>
    <t>ACI 318S-08</t>
  </si>
  <si>
    <t>Combinaciones para Carga Estática</t>
  </si>
  <si>
    <t>Coeficientes</t>
  </si>
  <si>
    <t>● Resistencia al Aplastamiento de la Columna</t>
  </si>
  <si>
    <t>Sobre la Columna</t>
  </si>
  <si>
    <t>● Resistencia al Aplastamiento en el Concreto de la Zapata</t>
  </si>
  <si>
    <t>A1</t>
  </si>
  <si>
    <t>A2</t>
  </si>
  <si>
    <t>De la Columna</t>
  </si>
  <si>
    <t>7°</t>
  </si>
  <si>
    <t>Columna Izquierda</t>
  </si>
  <si>
    <t>hf  =</t>
  </si>
  <si>
    <t>Columna Derecha</t>
  </si>
  <si>
    <t>Cimentación</t>
  </si>
  <si>
    <t>φVc  =</t>
  </si>
  <si>
    <t>Diametro de Varilla φ :</t>
  </si>
  <si>
    <t>Pt  =</t>
  </si>
  <si>
    <t>l1  =</t>
  </si>
  <si>
    <t>Xo  =</t>
  </si>
  <si>
    <t>Lz  =</t>
  </si>
  <si>
    <t>lv  =</t>
  </si>
  <si>
    <t>b  =</t>
  </si>
  <si>
    <t>Reacción Neta del Terreno</t>
  </si>
  <si>
    <t>● Por Unidad de Longitud</t>
  </si>
  <si>
    <t>Wnu  =</t>
  </si>
  <si>
    <t>● Por Unidad de Area</t>
  </si>
  <si>
    <r>
      <t>W</t>
    </r>
    <r>
      <rPr>
        <sz val="8"/>
        <color theme="1"/>
        <rFont val="Arial"/>
        <family val="2"/>
      </rPr>
      <t>NU</t>
    </r>
    <r>
      <rPr>
        <sz val="10"/>
        <color theme="1"/>
        <rFont val="Arial"/>
        <family val="2"/>
      </rPr>
      <t xml:space="preserve">  =</t>
    </r>
  </si>
  <si>
    <t>Kg/m</t>
  </si>
  <si>
    <r>
      <t>P</t>
    </r>
    <r>
      <rPr>
        <sz val="8"/>
        <color theme="1"/>
        <rFont val="Arial"/>
        <family val="2"/>
      </rPr>
      <t>1u</t>
    </r>
    <r>
      <rPr>
        <sz val="10"/>
        <color theme="1"/>
        <rFont val="Arial"/>
        <family val="2"/>
      </rPr>
      <t xml:space="preserve">  =</t>
    </r>
  </si>
  <si>
    <r>
      <t>P</t>
    </r>
    <r>
      <rPr>
        <sz val="8"/>
        <color theme="1"/>
        <rFont val="Arial"/>
        <family val="2"/>
      </rPr>
      <t>2u</t>
    </r>
    <r>
      <rPr>
        <sz val="10"/>
        <color theme="1"/>
        <rFont val="Arial"/>
        <family val="2"/>
      </rPr>
      <t xml:space="preserve">  =</t>
    </r>
  </si>
  <si>
    <t>Dimensionamiento de la Altura hz de la Zapata</t>
  </si>
  <si>
    <t>Para una Cuantía ρ  =</t>
  </si>
  <si>
    <r>
      <t>M</t>
    </r>
    <r>
      <rPr>
        <sz val="8"/>
        <color theme="1"/>
        <rFont val="Arial"/>
        <family val="2"/>
      </rPr>
      <t>máx</t>
    </r>
    <r>
      <rPr>
        <sz val="10"/>
        <color theme="1"/>
        <rFont val="Arial"/>
        <family val="2"/>
      </rPr>
      <t xml:space="preserve">  =</t>
    </r>
  </si>
  <si>
    <t>Kg-m</t>
  </si>
  <si>
    <t>d  =</t>
  </si>
  <si>
    <t>Recubrimiento          r =</t>
  </si>
  <si>
    <t>Varillas a Usar</t>
  </si>
  <si>
    <t>φ:</t>
  </si>
  <si>
    <t>hz  =</t>
  </si>
  <si>
    <t>Verificaciónes</t>
  </si>
  <si>
    <t>● Por Cortante</t>
  </si>
  <si>
    <t>Y1  =</t>
  </si>
  <si>
    <t>Y2  =</t>
  </si>
  <si>
    <t>Y3  =</t>
  </si>
  <si>
    <t>Interior</t>
  </si>
  <si>
    <t>Voladizo</t>
  </si>
  <si>
    <t>Peralte Efectivo en Tramo Interior</t>
  </si>
  <si>
    <t>Peralte Efectivo en Voladizo</t>
  </si>
  <si>
    <t>Vd1  =</t>
  </si>
  <si>
    <t>Vd2  =</t>
  </si>
  <si>
    <t>Vd3  =</t>
  </si>
  <si>
    <t>Vn  =</t>
  </si>
  <si>
    <t>Vc  =</t>
  </si>
  <si>
    <t>a) Columna Exterior</t>
  </si>
  <si>
    <r>
      <t>V</t>
    </r>
    <r>
      <rPr>
        <sz val="8"/>
        <color theme="1"/>
        <rFont val="Arial"/>
        <family val="2"/>
      </rPr>
      <t>c1</t>
    </r>
    <r>
      <rPr>
        <sz val="10"/>
        <color theme="1"/>
        <rFont val="Arial"/>
        <family val="2"/>
      </rPr>
      <t xml:space="preserve">  =</t>
    </r>
  </si>
  <si>
    <r>
      <t>V</t>
    </r>
    <r>
      <rPr>
        <sz val="8"/>
        <color theme="1"/>
        <rFont val="Arial"/>
        <family val="2"/>
      </rPr>
      <t>c2</t>
    </r>
    <r>
      <rPr>
        <sz val="10"/>
        <color theme="1"/>
        <rFont val="Arial"/>
        <family val="2"/>
      </rPr>
      <t xml:space="preserve">  =</t>
    </r>
  </si>
  <si>
    <r>
      <t>V</t>
    </r>
    <r>
      <rPr>
        <sz val="8"/>
        <color theme="1"/>
        <rFont val="Arial"/>
        <family val="2"/>
      </rPr>
      <t>c3</t>
    </r>
    <r>
      <rPr>
        <sz val="10"/>
        <color theme="1"/>
        <rFont val="Arial"/>
        <family val="2"/>
      </rPr>
      <t xml:space="preserve">  =</t>
    </r>
  </si>
  <si>
    <t>b) Columna Interior</t>
  </si>
  <si>
    <t>● Refuerzo Superior</t>
  </si>
  <si>
    <t>Varillas</t>
  </si>
  <si>
    <t>● Refuerzo Inferior</t>
  </si>
  <si>
    <t>Diseño en Dirección Transversal</t>
  </si>
  <si>
    <t>b1  =</t>
  </si>
  <si>
    <t>b2  =</t>
  </si>
  <si>
    <t>● Zapata Exterior</t>
  </si>
  <si>
    <r>
      <t>q</t>
    </r>
    <r>
      <rPr>
        <sz val="8"/>
        <color theme="1"/>
        <rFont val="Arial"/>
        <family val="2"/>
      </rPr>
      <t>NU</t>
    </r>
    <r>
      <rPr>
        <sz val="10"/>
        <color theme="1"/>
        <rFont val="Arial"/>
        <family val="2"/>
      </rPr>
      <t xml:space="preserve">  =</t>
    </r>
  </si>
  <si>
    <t>Diámetro de Varilla  φ:</t>
  </si>
  <si>
    <t>● Zapata Interior</t>
  </si>
  <si>
    <t>Refuerzo por Montaje:</t>
  </si>
  <si>
    <t>s  =</t>
  </si>
  <si>
    <t>ZAPATA COMBINADA RECTANGULAR</t>
  </si>
  <si>
    <t>ZAPATA CENTRICA</t>
  </si>
  <si>
    <t>Longitudes de Desarrollo</t>
  </si>
  <si>
    <t>Ψt</t>
  </si>
  <si>
    <t>Ψs</t>
  </si>
  <si>
    <t>Factores Ψ</t>
  </si>
  <si>
    <t>Varillas Superiores</t>
  </si>
  <si>
    <t>Otras Varillas</t>
  </si>
  <si>
    <t>Varillas o alambres con recubrimiento Expóxico con menos de 3db de recubrimiento o separación libre menor de 6db</t>
  </si>
  <si>
    <t>Ψe</t>
  </si>
  <si>
    <t>Todas la Otras Varillas o Alambre con Recubrimiento Epóxico</t>
  </si>
  <si>
    <t>Refuerzo sin Recubrimiento y con recubrimiento con zinc</t>
  </si>
  <si>
    <t>Varillas mayores o iguales a la #7</t>
  </si>
  <si>
    <t>Descripción</t>
  </si>
  <si>
    <t>Valor</t>
  </si>
  <si>
    <t>Cuando se especifica fct</t>
  </si>
  <si>
    <t>Concreto de Peso Normal</t>
  </si>
  <si>
    <t>Concreto de Peso Liviano</t>
  </si>
  <si>
    <t>λ</t>
  </si>
  <si>
    <t>Cb  =</t>
  </si>
  <si>
    <t>Cb =</t>
  </si>
  <si>
    <t>Distancia medida del centro de una barra o alambre a la superficie mas cercana del concrero</t>
  </si>
  <si>
    <t>La mitad de la separación centro a centro de las barras o alambres que se desarrollan</t>
  </si>
  <si>
    <t>Nota:</t>
  </si>
  <si>
    <t xml:space="preserve">Colocar la Primera Capa de Refuerzo en la Dirección Corta y la Segunda Capa </t>
  </si>
  <si>
    <t>en la Dirección Larga</t>
  </si>
  <si>
    <t>Ktr  =</t>
  </si>
  <si>
    <t>No hay Estribos</t>
  </si>
  <si>
    <t>db  =</t>
  </si>
  <si>
    <t>Ψt  =</t>
  </si>
  <si>
    <t>Ψe  =</t>
  </si>
  <si>
    <t>Varillas o alambres menores o iguales a la #6</t>
  </si>
  <si>
    <t>λ  =</t>
  </si>
  <si>
    <t>C° de Peso Normal</t>
  </si>
  <si>
    <t>ld  =</t>
  </si>
  <si>
    <t>Ψs  =</t>
  </si>
  <si>
    <t>Longitud de Desarrollo Disonible :</t>
  </si>
  <si>
    <t>Lv1  =  Lv2  =</t>
  </si>
  <si>
    <t>Longitud de Desarrollo disponible en ambos sentidos</t>
  </si>
  <si>
    <t>Ld  =</t>
  </si>
  <si>
    <t>Direccion Longitudinal</t>
  </si>
  <si>
    <t>Direccion Transversal</t>
  </si>
  <si>
    <t>Df  =</t>
  </si>
  <si>
    <t>Longitud de Desarrollo del Refuerzo de la Zapata</t>
  </si>
  <si>
    <t>8°</t>
  </si>
  <si>
    <t>1 3/8"</t>
  </si>
  <si>
    <t>ldc1  =</t>
  </si>
  <si>
    <t>ldc2  =</t>
  </si>
  <si>
    <t>ldc  =</t>
  </si>
  <si>
    <t>● En la Columna</t>
  </si>
  <si>
    <t>● En la Zapata</t>
  </si>
  <si>
    <t>Diametro de la Varilla a Usar φ:</t>
  </si>
  <si>
    <t>Numero de Varillas :</t>
  </si>
  <si>
    <t>Esfuerzos por Punzonamiento</t>
  </si>
  <si>
    <t>Vu/φVc  =</t>
  </si>
  <si>
    <t>Longitud disponible para el Desarrollo de las Barras o Dowels a compresión =</t>
  </si>
  <si>
    <t>Longitud de Desarrollo del Refuerzo en espera(Dowels) a compresión</t>
  </si>
  <si>
    <t>Acero de Espera(Dowels) entre columna y Zapata As  =</t>
  </si>
  <si>
    <t>Story</t>
  </si>
  <si>
    <t>Point</t>
  </si>
  <si>
    <t>Load</t>
  </si>
  <si>
    <t>FX</t>
  </si>
  <si>
    <t>FY</t>
  </si>
  <si>
    <t>FZ</t>
  </si>
  <si>
    <t>MX</t>
  </si>
  <si>
    <t>MY</t>
  </si>
  <si>
    <t>MZ</t>
  </si>
  <si>
    <t>BASE</t>
  </si>
  <si>
    <t>PD</t>
  </si>
  <si>
    <t>PL</t>
  </si>
  <si>
    <t>Columna</t>
  </si>
  <si>
    <t>Peso Total   (Kg)</t>
  </si>
  <si>
    <t>PD Total     (Kg)</t>
  </si>
  <si>
    <t>PL Total     (Kg)</t>
  </si>
  <si>
    <t>1B</t>
  </si>
  <si>
    <t>2H</t>
  </si>
  <si>
    <t>5H</t>
  </si>
  <si>
    <t>6I</t>
  </si>
  <si>
    <t>7I</t>
  </si>
  <si>
    <t>Col:</t>
  </si>
  <si>
    <t>1C</t>
  </si>
  <si>
    <t>Doblar Ref</t>
  </si>
  <si>
    <t>SI</t>
  </si>
  <si>
    <t>3C</t>
  </si>
  <si>
    <t>3A</t>
  </si>
  <si>
    <t>3B</t>
  </si>
  <si>
    <t>3D</t>
  </si>
  <si>
    <r>
      <t>A</t>
    </r>
    <r>
      <rPr>
        <sz val="8"/>
        <color theme="1"/>
        <rFont val="Calibri"/>
        <family val="2"/>
        <scheme val="minor"/>
      </rPr>
      <t>zap</t>
    </r>
    <r>
      <rPr>
        <sz val="10"/>
        <color theme="1"/>
        <rFont val="Calibri"/>
        <family val="2"/>
        <scheme val="minor"/>
      </rPr>
      <t xml:space="preserve">  =</t>
    </r>
  </si>
  <si>
    <r>
      <t>h</t>
    </r>
    <r>
      <rPr>
        <sz val="8"/>
        <color theme="1"/>
        <rFont val="Calibri"/>
        <family val="2"/>
        <scheme val="minor"/>
      </rPr>
      <t>z</t>
    </r>
    <r>
      <rPr>
        <sz val="10"/>
        <color theme="1"/>
        <rFont val="Calibri"/>
        <family val="2"/>
        <scheme val="minor"/>
      </rPr>
      <t xml:space="preserve">  =</t>
    </r>
  </si>
  <si>
    <r>
      <t>l</t>
    </r>
    <r>
      <rPr>
        <b/>
        <i/>
        <sz val="9"/>
        <color theme="1"/>
        <rFont val="Calibri"/>
        <family val="2"/>
        <scheme val="minor"/>
      </rPr>
      <t>dc</t>
    </r>
    <r>
      <rPr>
        <b/>
        <i/>
        <sz val="8"/>
        <color theme="1"/>
        <rFont val="Calibri"/>
        <family val="2"/>
        <scheme val="minor"/>
      </rPr>
      <t>min</t>
    </r>
    <r>
      <rPr>
        <b/>
        <i/>
        <sz val="10"/>
        <color theme="1"/>
        <rFont val="Calibri"/>
        <family val="2"/>
        <scheme val="minor"/>
      </rPr>
      <t xml:space="preserve">  =</t>
    </r>
  </si>
  <si>
    <r>
      <t>ld</t>
    </r>
    <r>
      <rPr>
        <b/>
        <sz val="8"/>
        <color theme="1"/>
        <rFont val="Calibri"/>
        <family val="2"/>
        <scheme val="minor"/>
      </rPr>
      <t>min</t>
    </r>
    <r>
      <rPr>
        <b/>
        <sz val="10"/>
        <color theme="1"/>
        <rFont val="Calibri"/>
        <family val="2"/>
        <scheme val="minor"/>
      </rPr>
      <t xml:space="preserve">  =</t>
    </r>
  </si>
  <si>
    <r>
      <t>Kg/cm</t>
    </r>
    <r>
      <rPr>
        <sz val="10"/>
        <color theme="1"/>
        <rFont val="Calibri"/>
        <family val="2"/>
      </rPr>
      <t>²</t>
    </r>
  </si>
  <si>
    <r>
      <t>h</t>
    </r>
    <r>
      <rPr>
        <b/>
        <sz val="8"/>
        <color theme="2" tint="-0.89999084444715716"/>
        <rFont val="Calibri"/>
        <family val="2"/>
        <scheme val="minor"/>
      </rPr>
      <t>z</t>
    </r>
    <r>
      <rPr>
        <b/>
        <sz val="10"/>
        <color theme="2" tint="-0.89999084444715716"/>
        <rFont val="Calibri"/>
        <family val="2"/>
        <scheme val="minor"/>
      </rPr>
      <t xml:space="preserve">  =</t>
    </r>
  </si>
  <si>
    <r>
      <t>cm</t>
    </r>
    <r>
      <rPr>
        <sz val="10"/>
        <color theme="1"/>
        <rFont val="Calibri"/>
        <family val="2"/>
      </rPr>
      <t>²</t>
    </r>
  </si>
  <si>
    <r>
      <t>P</t>
    </r>
    <r>
      <rPr>
        <sz val="8"/>
        <color theme="1"/>
        <rFont val="Calibri"/>
        <family val="2"/>
        <scheme val="minor"/>
      </rPr>
      <t>u</t>
    </r>
    <r>
      <rPr>
        <sz val="10"/>
        <color theme="1"/>
        <rFont val="Calibri"/>
        <family val="2"/>
        <scheme val="minor"/>
      </rPr>
      <t xml:space="preserve">  =</t>
    </r>
  </si>
  <si>
    <r>
      <t>W</t>
    </r>
    <r>
      <rPr>
        <sz val="8"/>
        <color theme="1"/>
        <rFont val="Calibri"/>
        <family val="2"/>
        <scheme val="minor"/>
      </rPr>
      <t>u</t>
    </r>
    <r>
      <rPr>
        <sz val="10"/>
        <color theme="1"/>
        <rFont val="Calibri"/>
        <family val="2"/>
        <scheme val="minor"/>
      </rPr>
      <t xml:space="preserve">  =</t>
    </r>
  </si>
  <si>
    <r>
      <t>φ</t>
    </r>
    <r>
      <rPr>
        <i/>
        <sz val="8"/>
        <color theme="1"/>
        <rFont val="Calibri"/>
        <family val="2"/>
        <scheme val="minor"/>
      </rPr>
      <t>n</t>
    </r>
    <r>
      <rPr>
        <i/>
        <sz val="10"/>
        <color theme="1"/>
        <rFont val="Calibri"/>
        <family val="2"/>
        <scheme val="minor"/>
      </rPr>
      <t xml:space="preserve">  =</t>
    </r>
  </si>
  <si>
    <r>
      <t>P</t>
    </r>
    <r>
      <rPr>
        <sz val="8"/>
        <color theme="1"/>
        <rFont val="Calibri"/>
        <family val="2"/>
        <scheme val="minor"/>
      </rPr>
      <t>nb</t>
    </r>
    <r>
      <rPr>
        <sz val="10"/>
        <color theme="1"/>
        <rFont val="Calibri"/>
        <family val="2"/>
        <scheme val="minor"/>
      </rPr>
      <t xml:space="preserve">  =</t>
    </r>
  </si>
  <si>
    <r>
      <t>P</t>
    </r>
    <r>
      <rPr>
        <sz val="8"/>
        <color theme="1"/>
        <rFont val="Calibri"/>
        <family val="2"/>
        <scheme val="minor"/>
      </rPr>
      <t>n</t>
    </r>
    <r>
      <rPr>
        <sz val="10"/>
        <color theme="1"/>
        <rFont val="Calibri"/>
        <family val="2"/>
        <scheme val="minor"/>
      </rPr>
      <t xml:space="preserve">  =</t>
    </r>
  </si>
  <si>
    <r>
      <t>A</t>
    </r>
    <r>
      <rPr>
        <sz val="8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 =</t>
    </r>
  </si>
  <si>
    <r>
      <t>A</t>
    </r>
    <r>
      <rPr>
        <sz val="8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 =</t>
    </r>
  </si>
  <si>
    <r>
      <t>m</t>
    </r>
    <r>
      <rPr>
        <sz val="10"/>
        <color theme="1"/>
        <rFont val="Calibri"/>
        <family val="2"/>
      </rPr>
      <t>²</t>
    </r>
  </si>
  <si>
    <r>
      <t>A</t>
    </r>
    <r>
      <rPr>
        <sz val="8"/>
        <color theme="1"/>
        <rFont val="Calibri"/>
        <family val="2"/>
        <scheme val="minor"/>
      </rPr>
      <t>o</t>
    </r>
    <r>
      <rPr>
        <sz val="10"/>
        <color theme="1"/>
        <rFont val="Calibri"/>
        <family val="2"/>
        <scheme val="minor"/>
      </rPr>
      <t xml:space="preserve">  =</t>
    </r>
  </si>
  <si>
    <r>
      <t>Kg/m</t>
    </r>
    <r>
      <rPr>
        <i/>
        <sz val="10"/>
        <color theme="1"/>
        <rFont val="Calibri"/>
        <family val="2"/>
      </rPr>
      <t>²</t>
    </r>
  </si>
  <si>
    <r>
      <t>Kg/m</t>
    </r>
    <r>
      <rPr>
        <i/>
        <sz val="10"/>
        <color theme="1"/>
        <rFont val="Arial"/>
        <family val="2"/>
      </rPr>
      <t>³</t>
    </r>
  </si>
  <si>
    <r>
      <t>Kg/cm</t>
    </r>
    <r>
      <rPr>
        <i/>
        <sz val="10"/>
        <color theme="1"/>
        <rFont val="Calibri"/>
        <family val="2"/>
      </rPr>
      <t>²</t>
    </r>
  </si>
  <si>
    <r>
      <t>d</t>
    </r>
    <r>
      <rPr>
        <i/>
        <sz val="8"/>
        <color theme="1"/>
        <rFont val="Calibri"/>
        <family val="2"/>
        <scheme val="minor"/>
      </rPr>
      <t>prom</t>
    </r>
    <r>
      <rPr>
        <i/>
        <sz val="10"/>
        <color theme="1"/>
        <rFont val="Calibri"/>
        <family val="2"/>
        <scheme val="minor"/>
      </rPr>
      <t xml:space="preserve">  =</t>
    </r>
  </si>
  <si>
    <t>2A</t>
  </si>
  <si>
    <t>4A</t>
  </si>
  <si>
    <t>2D</t>
  </si>
  <si>
    <t>4D</t>
  </si>
  <si>
    <t>5B</t>
  </si>
  <si>
    <t>5C</t>
  </si>
  <si>
    <t>2B</t>
  </si>
  <si>
    <t>2C</t>
  </si>
  <si>
    <t>4B</t>
  </si>
  <si>
    <t>4C</t>
  </si>
  <si>
    <t>Rigidez Resorte (Tn/m)</t>
  </si>
  <si>
    <t>t1           (m)</t>
  </si>
  <si>
    <t>t2      (m)</t>
  </si>
  <si>
    <t>T         (m)</t>
  </si>
  <si>
    <t>S        (m)</t>
  </si>
  <si>
    <t>PERALTE   (m)</t>
  </si>
  <si>
    <t>10D</t>
  </si>
  <si>
    <t>5D</t>
  </si>
  <si>
    <t>ElementType</t>
  </si>
  <si>
    <t>Material</t>
  </si>
  <si>
    <t>TotalWeight</t>
  </si>
  <si>
    <t>FloorArea</t>
  </si>
  <si>
    <t>UnitWeight</t>
  </si>
  <si>
    <t>NumPieces</t>
  </si>
  <si>
    <t>NumStuds</t>
  </si>
  <si>
    <t>ROOF</t>
  </si>
  <si>
    <t>Column</t>
  </si>
  <si>
    <t>FC280</t>
  </si>
  <si>
    <t>Beam</t>
  </si>
  <si>
    <t>Wall</t>
  </si>
  <si>
    <t>Floor</t>
  </si>
  <si>
    <t>STORY4</t>
  </si>
  <si>
    <t>STORY3</t>
  </si>
  <si>
    <t>STORY2</t>
  </si>
  <si>
    <t>BASEMENT</t>
  </si>
  <si>
    <t>SUM</t>
  </si>
  <si>
    <t>TOTAL</t>
  </si>
  <si>
    <t>All</t>
  </si>
  <si>
    <t>4E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</si>
</sst>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b/>
      <i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b/>
      <u/>
      <sz val="18"/>
      <color theme="1"/>
      <name val="Aparajita"/>
      <family val="2"/>
    </font>
    <font>
      <sz val="10"/>
      <color theme="1"/>
      <name val="Calibri"/>
      <family val="2"/>
    </font>
    <font>
      <sz val="10"/>
      <name val="Arial"/>
      <family val="2"/>
    </font>
    <font>
      <b/>
      <u/>
      <sz val="1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00206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0"/>
      <color theme="6" tint="-0.499984740745262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0"/>
      <color theme="2" tint="-0.89999084444715716"/>
      <name val="Calibri"/>
      <family val="2"/>
      <scheme val="minor"/>
    </font>
    <font>
      <b/>
      <sz val="10"/>
      <color theme="2" tint="-0.89999084444715716"/>
      <name val="Calibri"/>
      <family val="2"/>
      <scheme val="minor"/>
    </font>
    <font>
      <b/>
      <sz val="8"/>
      <color theme="2" tint="-0.89999084444715716"/>
      <name val="Calibri"/>
      <family val="2"/>
      <scheme val="minor"/>
    </font>
    <font>
      <b/>
      <i/>
      <sz val="10"/>
      <color theme="3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 tint="4.9989318521683403E-2"/>
      <name val="Calibri"/>
      <family val="2"/>
      <scheme val="minor"/>
    </font>
    <font>
      <b/>
      <i/>
      <sz val="10"/>
      <color theme="1" tint="4.9989318521683403E-2"/>
      <name val="Calibri"/>
      <family val="2"/>
      <scheme val="minor"/>
    </font>
    <font>
      <i/>
      <sz val="10"/>
      <color theme="1"/>
      <name val="Calibri"/>
      <family val="2"/>
    </font>
    <font>
      <sz val="10"/>
      <color theme="1" tint="4.9989318521683403E-2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i/>
      <u/>
      <sz val="10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rgb="FFB2B2B2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B2B2B2"/>
      </top>
      <bottom/>
      <diagonal/>
    </border>
    <border>
      <left/>
      <right/>
      <top style="thin">
        <color rgb="FFB2B2B2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2" borderId="2" applyNumberFormat="0" applyFont="0" applyAlignment="0" applyProtection="0"/>
  </cellStyleXfs>
  <cellXfs count="14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3" borderId="0" xfId="0" applyFont="1" applyFill="1"/>
    <xf numFmtId="0" fontId="2" fillId="3" borderId="9" xfId="0" applyFont="1" applyFill="1" applyBorder="1" applyAlignment="1">
      <alignment horizontal="right"/>
    </xf>
    <xf numFmtId="2" fontId="2" fillId="3" borderId="0" xfId="0" applyNumberFormat="1" applyFont="1" applyFill="1" applyAlignment="1">
      <alignment horizontal="center"/>
    </xf>
    <xf numFmtId="0" fontId="2" fillId="3" borderId="3" xfId="0" applyFont="1" applyFill="1" applyBorder="1"/>
    <xf numFmtId="0" fontId="2" fillId="3" borderId="0" xfId="0" applyFont="1" applyFill="1" applyAlignment="1">
      <alignment horizontal="center"/>
    </xf>
    <xf numFmtId="0" fontId="2" fillId="3" borderId="11" xfId="0" applyFont="1" applyFill="1" applyBorder="1" applyAlignment="1">
      <alignment horizontal="right"/>
    </xf>
    <xf numFmtId="0" fontId="2" fillId="3" borderId="4" xfId="0" applyFont="1" applyFill="1" applyBorder="1"/>
    <xf numFmtId="0" fontId="2" fillId="3" borderId="12" xfId="0" applyFont="1" applyFill="1" applyBorder="1" applyAlignment="1">
      <alignment horizontal="right"/>
    </xf>
    <xf numFmtId="0" fontId="2" fillId="3" borderId="8" xfId="0" applyFont="1" applyFill="1" applyBorder="1"/>
    <xf numFmtId="0" fontId="3" fillId="3" borderId="0" xfId="0" applyFont="1" applyFill="1"/>
    <xf numFmtId="0" fontId="3" fillId="3" borderId="0" xfId="0" applyFont="1" applyFill="1" applyAlignment="1">
      <alignment horizontal="right"/>
    </xf>
    <xf numFmtId="0" fontId="3" fillId="3" borderId="0" xfId="0" applyFont="1" applyFill="1" applyAlignment="1">
      <alignment horizontal="center"/>
    </xf>
    <xf numFmtId="0" fontId="1" fillId="3" borderId="0" xfId="0" applyFont="1" applyFill="1" applyAlignment="1">
      <alignment horizontal="right"/>
    </xf>
    <xf numFmtId="0" fontId="2" fillId="3" borderId="0" xfId="0" applyFont="1" applyFill="1" applyAlignment="1"/>
    <xf numFmtId="0" fontId="9" fillId="3" borderId="0" xfId="0" applyFont="1" applyFill="1"/>
    <xf numFmtId="0" fontId="7" fillId="3" borderId="0" xfId="0" applyFont="1" applyFill="1" applyAlignment="1">
      <alignment horizontal="right"/>
    </xf>
    <xf numFmtId="0" fontId="7" fillId="3" borderId="0" xfId="0" applyFont="1" applyFill="1" applyAlignment="1">
      <alignment horizontal="left"/>
    </xf>
    <xf numFmtId="0" fontId="9" fillId="3" borderId="0" xfId="0" applyFont="1" applyFill="1" applyAlignment="1">
      <alignment horizontal="right"/>
    </xf>
    <xf numFmtId="0" fontId="12" fillId="3" borderId="0" xfId="0" applyFont="1" applyFill="1" applyAlignment="1">
      <alignment horizontal="right"/>
    </xf>
    <xf numFmtId="0" fontId="12" fillId="3" borderId="0" xfId="0" applyFont="1" applyFill="1" applyAlignment="1">
      <alignment horizontal="center"/>
    </xf>
    <xf numFmtId="0" fontId="12" fillId="3" borderId="0" xfId="0" applyFont="1" applyFill="1"/>
    <xf numFmtId="165" fontId="3" fillId="3" borderId="0" xfId="0" applyNumberFormat="1" applyFont="1" applyFill="1" applyAlignment="1">
      <alignment horizontal="center"/>
    </xf>
    <xf numFmtId="0" fontId="7" fillId="3" borderId="0" xfId="0" applyFont="1" applyFill="1"/>
    <xf numFmtId="0" fontId="8" fillId="3" borderId="0" xfId="0" applyFont="1" applyFill="1"/>
    <xf numFmtId="0" fontId="13" fillId="3" borderId="0" xfId="0" applyFont="1" applyFill="1"/>
    <xf numFmtId="0" fontId="3" fillId="3" borderId="0" xfId="0" applyFont="1" applyFill="1" applyAlignment="1"/>
    <xf numFmtId="0" fontId="10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2" fillId="3" borderId="0" xfId="0" applyFont="1" applyFill="1" applyAlignment="1">
      <alignment horizontal="right"/>
    </xf>
    <xf numFmtId="0" fontId="3" fillId="0" borderId="0" xfId="0" applyFont="1" applyAlignment="1">
      <alignment horizontal="center"/>
    </xf>
    <xf numFmtId="0" fontId="10" fillId="3" borderId="0" xfId="0" applyFont="1" applyFill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center" vertical="center" wrapText="1"/>
    </xf>
    <xf numFmtId="0" fontId="2" fillId="0" borderId="0" xfId="0" applyFont="1" applyFill="1"/>
    <xf numFmtId="0" fontId="16" fillId="4" borderId="0" xfId="0" applyFont="1" applyFill="1" applyAlignment="1">
      <alignment horizontal="center"/>
    </xf>
    <xf numFmtId="2" fontId="16" fillId="4" borderId="0" xfId="0" applyNumberFormat="1" applyFont="1" applyFill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2" fontId="2" fillId="4" borderId="0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2" fontId="2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0" fontId="18" fillId="2" borderId="2" xfId="1" applyFont="1" applyAlignment="1">
      <alignment horizontal="center" vertical="center" wrapText="1"/>
    </xf>
    <xf numFmtId="0" fontId="19" fillId="0" borderId="0" xfId="0" applyFont="1"/>
    <xf numFmtId="0" fontId="19" fillId="3" borderId="0" xfId="0" applyFont="1" applyFill="1"/>
    <xf numFmtId="0" fontId="21" fillId="3" borderId="0" xfId="0" applyFont="1" applyFill="1" applyAlignment="1">
      <alignment horizontal="center"/>
    </xf>
    <xf numFmtId="0" fontId="22" fillId="3" borderId="0" xfId="0" applyFont="1" applyFill="1" applyAlignment="1">
      <alignment horizontal="center"/>
    </xf>
    <xf numFmtId="0" fontId="19" fillId="3" borderId="0" xfId="0" applyFont="1" applyFill="1" applyAlignment="1">
      <alignment horizontal="center"/>
    </xf>
    <xf numFmtId="2" fontId="21" fillId="3" borderId="0" xfId="0" applyNumberFormat="1" applyFont="1" applyFill="1" applyAlignment="1">
      <alignment horizontal="center"/>
    </xf>
    <xf numFmtId="0" fontId="20" fillId="3" borderId="0" xfId="0" applyFont="1" applyFill="1" applyAlignment="1">
      <alignment horizontal="center"/>
    </xf>
    <xf numFmtId="0" fontId="19" fillId="3" borderId="0" xfId="0" applyFont="1" applyFill="1" applyAlignment="1">
      <alignment horizontal="right"/>
    </xf>
    <xf numFmtId="0" fontId="19" fillId="4" borderId="0" xfId="0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0" fontId="19" fillId="0" borderId="0" xfId="0" applyFont="1" applyAlignment="1">
      <alignment horizontal="center"/>
    </xf>
    <xf numFmtId="164" fontId="19" fillId="3" borderId="0" xfId="0" applyNumberFormat="1" applyFont="1" applyFill="1"/>
    <xf numFmtId="0" fontId="24" fillId="3" borderId="0" xfId="0" applyFont="1" applyFill="1"/>
    <xf numFmtId="0" fontId="19" fillId="3" borderId="0" xfId="0" applyFont="1" applyFill="1" applyAlignment="1">
      <alignment horizontal="left"/>
    </xf>
    <xf numFmtId="0" fontId="25" fillId="3" borderId="0" xfId="0" applyFont="1" applyFill="1"/>
    <xf numFmtId="0" fontId="19" fillId="0" borderId="0" xfId="0" applyFont="1" applyFill="1" applyAlignment="1">
      <alignment horizontal="center"/>
    </xf>
    <xf numFmtId="0" fontId="19" fillId="4" borderId="0" xfId="0" applyFont="1" applyFill="1"/>
    <xf numFmtId="0" fontId="26" fillId="3" borderId="0" xfId="0" applyFont="1" applyFill="1"/>
    <xf numFmtId="0" fontId="19" fillId="0" borderId="0" xfId="0" applyFont="1" applyAlignment="1">
      <alignment horizontal="right"/>
    </xf>
    <xf numFmtId="0" fontId="25" fillId="3" borderId="0" xfId="0" applyFont="1" applyFill="1" applyAlignment="1">
      <alignment horizontal="left"/>
    </xf>
    <xf numFmtId="0" fontId="20" fillId="3" borderId="0" xfId="0" applyFont="1" applyFill="1"/>
    <xf numFmtId="0" fontId="20" fillId="3" borderId="0" xfId="0" applyFont="1" applyFill="1" applyAlignment="1">
      <alignment horizontal="right"/>
    </xf>
    <xf numFmtId="0" fontId="19" fillId="3" borderId="1" xfId="0" applyFont="1" applyFill="1" applyBorder="1"/>
    <xf numFmtId="0" fontId="27" fillId="3" borderId="0" xfId="0" applyFont="1" applyFill="1"/>
    <xf numFmtId="0" fontId="25" fillId="3" borderId="0" xfId="0" applyFont="1" applyFill="1" applyAlignment="1">
      <alignment horizontal="center"/>
    </xf>
    <xf numFmtId="0" fontId="25" fillId="3" borderId="0" xfId="0" applyFont="1" applyFill="1" applyAlignment="1">
      <alignment horizontal="center"/>
    </xf>
    <xf numFmtId="2" fontId="27" fillId="3" borderId="0" xfId="0" applyNumberFormat="1" applyFont="1" applyFill="1"/>
    <xf numFmtId="165" fontId="19" fillId="3" borderId="0" xfId="0" applyNumberFormat="1" applyFont="1" applyFill="1" applyAlignment="1">
      <alignment horizontal="center"/>
    </xf>
    <xf numFmtId="0" fontId="29" fillId="3" borderId="0" xfId="0" applyFont="1" applyFill="1"/>
    <xf numFmtId="0" fontId="24" fillId="3" borderId="0" xfId="0" applyFont="1" applyFill="1" applyAlignment="1">
      <alignment horizontal="right"/>
    </xf>
    <xf numFmtId="0" fontId="24" fillId="3" borderId="0" xfId="0" applyFont="1" applyFill="1" applyAlignment="1">
      <alignment horizontal="center"/>
    </xf>
    <xf numFmtId="0" fontId="21" fillId="3" borderId="0" xfId="0" applyFont="1" applyFill="1"/>
    <xf numFmtId="0" fontId="20" fillId="0" borderId="0" xfId="0" applyFont="1"/>
    <xf numFmtId="2" fontId="19" fillId="3" borderId="0" xfId="0" applyNumberFormat="1" applyFont="1" applyFill="1" applyAlignment="1">
      <alignment horizontal="center"/>
    </xf>
    <xf numFmtId="165" fontId="19" fillId="3" borderId="0" xfId="0" applyNumberFormat="1" applyFont="1" applyFill="1" applyAlignment="1">
      <alignment horizontal="right"/>
    </xf>
    <xf numFmtId="165" fontId="31" fillId="3" borderId="0" xfId="0" applyNumberFormat="1" applyFont="1" applyFill="1"/>
    <xf numFmtId="2" fontId="19" fillId="0" borderId="0" xfId="0" applyNumberFormat="1" applyFont="1" applyAlignment="1">
      <alignment horizontal="center"/>
    </xf>
    <xf numFmtId="0" fontId="32" fillId="3" borderId="0" xfId="0" applyFont="1" applyFill="1"/>
    <xf numFmtId="0" fontId="19" fillId="3" borderId="0" xfId="0" applyFont="1" applyFill="1" applyAlignment="1"/>
    <xf numFmtId="0" fontId="21" fillId="3" borderId="0" xfId="0" applyFont="1" applyFill="1" applyAlignment="1">
      <alignment horizontal="right"/>
    </xf>
    <xf numFmtId="164" fontId="19" fillId="3" borderId="0" xfId="0" applyNumberFormat="1" applyFont="1" applyFill="1" applyAlignment="1">
      <alignment horizontal="center"/>
    </xf>
    <xf numFmtId="0" fontId="25" fillId="3" borderId="0" xfId="0" applyFont="1" applyFill="1" applyAlignment="1">
      <alignment horizontal="right"/>
    </xf>
    <xf numFmtId="0" fontId="34" fillId="3" borderId="0" xfId="0" applyFont="1" applyFill="1"/>
    <xf numFmtId="0" fontId="35" fillId="3" borderId="0" xfId="0" applyFont="1" applyFill="1"/>
    <xf numFmtId="0" fontId="35" fillId="3" borderId="0" xfId="0" applyFont="1" applyFill="1" applyAlignment="1">
      <alignment horizontal="center"/>
    </xf>
    <xf numFmtId="165" fontId="25" fillId="3" borderId="0" xfId="0" applyNumberFormat="1" applyFont="1" applyFill="1" applyAlignment="1">
      <alignment horizontal="center"/>
    </xf>
    <xf numFmtId="2" fontId="25" fillId="3" borderId="0" xfId="0" applyNumberFormat="1" applyFont="1" applyFill="1" applyAlignment="1">
      <alignment horizontal="center"/>
    </xf>
    <xf numFmtId="0" fontId="40" fillId="3" borderId="0" xfId="0" applyFont="1" applyFill="1"/>
    <xf numFmtId="2" fontId="42" fillId="3" borderId="0" xfId="0" applyNumberFormat="1" applyFont="1" applyFill="1" applyAlignment="1">
      <alignment horizontal="right"/>
    </xf>
    <xf numFmtId="0" fontId="39" fillId="3" borderId="0" xfId="0" applyFont="1" applyFill="1"/>
    <xf numFmtId="0" fontId="40" fillId="3" borderId="0" xfId="0" applyFont="1" applyFill="1" applyAlignment="1">
      <alignment horizontal="right"/>
    </xf>
    <xf numFmtId="0" fontId="43" fillId="3" borderId="0" xfId="0" applyFont="1" applyFill="1"/>
    <xf numFmtId="165" fontId="25" fillId="3" borderId="0" xfId="0" applyNumberFormat="1" applyFont="1" applyFill="1"/>
    <xf numFmtId="0" fontId="40" fillId="3" borderId="0" xfId="0" applyFont="1" applyFill="1" applyAlignment="1">
      <alignment horizontal="center"/>
    </xf>
    <xf numFmtId="0" fontId="44" fillId="3" borderId="0" xfId="0" applyFont="1" applyFill="1"/>
    <xf numFmtId="165" fontId="20" fillId="3" borderId="0" xfId="0" applyNumberFormat="1" applyFont="1" applyFill="1" applyAlignment="1">
      <alignment horizontal="center"/>
    </xf>
    <xf numFmtId="165" fontId="20" fillId="3" borderId="0" xfId="0" applyNumberFormat="1" applyFont="1" applyFill="1"/>
    <xf numFmtId="165" fontId="43" fillId="3" borderId="0" xfId="0" applyNumberFormat="1" applyFont="1" applyFill="1" applyAlignment="1">
      <alignment horizontal="center"/>
    </xf>
    <xf numFmtId="0" fontId="19" fillId="3" borderId="0" xfId="0" applyFont="1" applyFill="1" applyAlignment="1">
      <alignment horizontal="center"/>
    </xf>
    <xf numFmtId="2" fontId="19" fillId="3" borderId="0" xfId="0" applyNumberFormat="1" applyFont="1" applyFill="1" applyAlignment="1">
      <alignment horizontal="center"/>
    </xf>
    <xf numFmtId="0" fontId="25" fillId="3" borderId="0" xfId="0" applyFont="1" applyFill="1" applyAlignment="1">
      <alignment horizontal="right"/>
    </xf>
    <xf numFmtId="0" fontId="37" fillId="3" borderId="0" xfId="0" applyFont="1" applyFill="1" applyAlignment="1">
      <alignment horizontal="right"/>
    </xf>
    <xf numFmtId="2" fontId="37" fillId="3" borderId="0" xfId="0" applyNumberFormat="1" applyFont="1" applyFill="1" applyAlignment="1">
      <alignment horizontal="center"/>
    </xf>
    <xf numFmtId="0" fontId="44" fillId="3" borderId="0" xfId="0" applyFont="1" applyFill="1" applyAlignment="1">
      <alignment horizontal="center"/>
    </xf>
    <xf numFmtId="0" fontId="28" fillId="3" borderId="0" xfId="0" applyFont="1" applyFill="1" applyAlignment="1">
      <alignment horizontal="center"/>
    </xf>
    <xf numFmtId="0" fontId="19" fillId="3" borderId="0" xfId="0" applyFont="1" applyFill="1" applyAlignment="1">
      <alignment horizontal="right"/>
    </xf>
    <xf numFmtId="0" fontId="27" fillId="3" borderId="0" xfId="0" applyFont="1" applyFill="1" applyAlignment="1">
      <alignment horizontal="right"/>
    </xf>
    <xf numFmtId="0" fontId="40" fillId="3" borderId="0" xfId="0" applyFont="1" applyFill="1" applyAlignment="1">
      <alignment horizontal="center"/>
    </xf>
    <xf numFmtId="0" fontId="25" fillId="3" borderId="0" xfId="0" applyFont="1" applyFill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7" fillId="3" borderId="0" xfId="0" applyFont="1" applyFill="1" applyAlignment="1">
      <alignment horizontal="center"/>
    </xf>
    <xf numFmtId="0" fontId="20" fillId="3" borderId="0" xfId="0" applyFont="1" applyFill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3" borderId="0" xfId="0" applyFont="1" applyFill="1" applyAlignment="1">
      <alignment horizontal="left" indent="5"/>
    </xf>
    <xf numFmtId="0" fontId="19" fillId="3" borderId="0" xfId="0" applyFont="1" applyFill="1" applyAlignment="1">
      <alignment horizontal="center"/>
    </xf>
    <xf numFmtId="0" fontId="19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2" fillId="3" borderId="0" xfId="0" applyFont="1" applyFill="1" applyAlignment="1">
      <alignment horizontal="right"/>
    </xf>
    <xf numFmtId="0" fontId="2" fillId="3" borderId="0" xfId="0" applyFont="1" applyFill="1" applyAlignment="1">
      <alignment horizontal="left"/>
    </xf>
    <xf numFmtId="0" fontId="7" fillId="3" borderId="2" xfId="1" applyFont="1" applyFill="1" applyAlignment="1">
      <alignment horizontal="center"/>
    </xf>
    <xf numFmtId="0" fontId="7" fillId="3" borderId="5" xfId="1" applyFont="1" applyFill="1" applyBorder="1" applyAlignment="1">
      <alignment horizontal="center"/>
    </xf>
    <xf numFmtId="0" fontId="7" fillId="3" borderId="6" xfId="1" applyFont="1" applyFill="1" applyBorder="1" applyAlignment="1">
      <alignment horizontal="center"/>
    </xf>
    <xf numFmtId="0" fontId="7" fillId="3" borderId="7" xfId="1" applyFont="1" applyFill="1" applyBorder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tas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7" Type="http://schemas.openxmlformats.org/officeDocument/2006/relationships/image" Target="../media/image10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9.PN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533400</xdr:colOff>
      <xdr:row>16</xdr:row>
      <xdr:rowOff>0</xdr:rowOff>
    </xdr:from>
    <xdr:ext cx="2200276" cy="2754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2 CuadroTexto"/>
            <xdr:cNvSpPr txBox="1"/>
          </xdr:nvSpPr>
          <xdr:spPr>
            <a:xfrm>
              <a:off x="2305050" y="2790825"/>
              <a:ext cx="2200276" cy="2754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/>
                            <a:ea typeface="Cambria Math"/>
                          </a:rPr>
                          <m:t>𝜎</m:t>
                        </m:r>
                      </m:e>
                      <m:sub>
                        <m:r>
                          <a:rPr lang="es-PE" sz="1100" b="0" i="1">
                            <a:latin typeface="Cambria Math"/>
                          </a:rPr>
                          <m:t>𝑛</m:t>
                        </m:r>
                      </m:sub>
                    </m:sSub>
                    <m:r>
                      <a:rPr lang="es-PE" sz="1100" b="0" i="1">
                        <a:latin typeface="Cambria Math"/>
                      </a:rPr>
                      <m:t>=</m:t>
                    </m:r>
                    <m:sSub>
                      <m:sSubPr>
                        <m:ctrlPr>
                          <a:rPr lang="es-PE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𝜎</m:t>
                        </m:r>
                      </m:e>
                      <m:sub>
                        <m:r>
                          <a:rPr lang="es-PE" sz="1100" b="0" i="1">
                            <a:latin typeface="Cambria Math"/>
                          </a:rPr>
                          <m:t>𝑡</m:t>
                        </m:r>
                      </m:sub>
                    </m:sSub>
                    <m:r>
                      <a:rPr lang="es-PE" sz="1100" b="0" i="1">
                        <a:latin typeface="Cambria Math"/>
                      </a:rPr>
                      <m:t>−</m:t>
                    </m:r>
                    <m:sSub>
                      <m:sSubPr>
                        <m:ctrlPr>
                          <a:rPr lang="es-PE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𝛾</m:t>
                        </m:r>
                      </m:e>
                      <m:sub>
                        <m:r>
                          <a:rPr lang="es-PE" sz="1100" b="0" i="1">
                            <a:latin typeface="Cambria Math"/>
                          </a:rPr>
                          <m:t>𝑝𝑜𝑚</m:t>
                        </m:r>
                      </m:sub>
                    </m:sSub>
                    <m:r>
                      <a:rPr lang="es-PE" sz="1100" b="0" i="1">
                        <a:latin typeface="Cambria Math"/>
                        <a:ea typeface="Cambria Math"/>
                      </a:rPr>
                      <m:t>∙</m:t>
                    </m:r>
                    <m:sSub>
                      <m:sSubPr>
                        <m:ctrlPr>
                          <a:rPr lang="es-PE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h</m:t>
                        </m:r>
                      </m:e>
                      <m:sub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𝑓</m:t>
                        </m:r>
                      </m:sub>
                    </m:sSub>
                    <m:r>
                      <a:rPr lang="es-PE" sz="1100" b="0" i="1">
                        <a:latin typeface="Cambria Math"/>
                      </a:rPr>
                      <m:t>−</m:t>
                    </m:r>
                    <m:sSub>
                      <m:sSubPr>
                        <m:ctrlPr>
                          <a:rPr lang="es-PE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b="0" i="1">
                            <a:latin typeface="Cambria Math"/>
                          </a:rPr>
                          <m:t>h</m:t>
                        </m:r>
                      </m:e>
                      <m:sub>
                        <m:r>
                          <a:rPr lang="es-PE" sz="1100" b="0" i="1">
                            <a:latin typeface="Cambria Math" panose="02040503050406030204" pitchFamily="18" charset="0"/>
                          </a:rPr>
                          <m:t>𝑧</m:t>
                        </m:r>
                      </m:sub>
                    </m:sSub>
                    <m:r>
                      <a:rPr lang="es-PE" sz="1100" b="0" i="1">
                        <a:latin typeface="Cambria Math"/>
                        <a:ea typeface="Cambria Math"/>
                      </a:rPr>
                      <m:t>∙</m:t>
                    </m:r>
                    <m:sSub>
                      <m:sSubPr>
                        <m:ctrlPr>
                          <a:rPr lang="es-PE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𝛾</m:t>
                        </m:r>
                      </m:e>
                      <m:sub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𝑐</m:t>
                        </m:r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−</m:t>
                        </m:r>
                      </m:sub>
                    </m:sSub>
                    <m:r>
                      <a:rPr lang="es-PE" sz="1100" b="0" i="1">
                        <a:latin typeface="Cambria Math"/>
                      </a:rPr>
                      <m:t>𝑆</m:t>
                    </m:r>
                    <m:r>
                      <a:rPr lang="es-PE" sz="1100" b="0" i="1">
                        <a:latin typeface="Cambria Math"/>
                      </a:rPr>
                      <m:t>/</m:t>
                    </m:r>
                    <m:r>
                      <a:rPr lang="es-PE" sz="1100" b="0" i="1">
                        <a:latin typeface="Cambria Math"/>
                      </a:rPr>
                      <m:t>𝐶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" name="2 CuadroTexto"/>
            <xdr:cNvSpPr txBox="1"/>
          </xdr:nvSpPr>
          <xdr:spPr>
            <a:xfrm>
              <a:off x="2305050" y="2790825"/>
              <a:ext cx="2200276" cy="2754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s-PE" sz="1100" i="0">
                  <a:latin typeface="Cambria Math"/>
                  <a:ea typeface="Cambria Math"/>
                </a:rPr>
                <a:t>𝜎</a:t>
              </a:r>
              <a:r>
                <a:rPr lang="es-PE" sz="110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es-PE" sz="1100" b="0" i="0">
                  <a:latin typeface="Cambria Math"/>
                </a:rPr>
                <a:t>𝑛=</a:t>
              </a:r>
              <a:r>
                <a:rPr lang="es-PE" sz="1100" b="0" i="0">
                  <a:latin typeface="Cambria Math"/>
                  <a:ea typeface="Cambria Math"/>
                </a:rPr>
                <a:t>𝜎</a:t>
              </a:r>
              <a:r>
                <a:rPr lang="es-PE" sz="11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es-PE" sz="1100" b="0" i="0">
                  <a:latin typeface="Cambria Math"/>
                </a:rPr>
                <a:t>𝑡−</a:t>
              </a:r>
              <a:r>
                <a:rPr lang="es-PE" sz="1100" b="0" i="0">
                  <a:latin typeface="Cambria Math"/>
                  <a:ea typeface="Cambria Math"/>
                </a:rPr>
                <a:t>𝛾</a:t>
              </a:r>
              <a:r>
                <a:rPr lang="es-PE" sz="11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es-PE" sz="1100" b="0" i="0">
                  <a:latin typeface="Cambria Math"/>
                </a:rPr>
                <a:t>𝑝𝑜𝑚</a:t>
              </a:r>
              <a:r>
                <a:rPr lang="es-PE" sz="1100" b="0" i="0">
                  <a:latin typeface="Cambria Math"/>
                  <a:ea typeface="Cambria Math"/>
                </a:rPr>
                <a:t>∙ℎ</a:t>
              </a:r>
              <a:r>
                <a:rPr lang="es-PE" sz="11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es-PE" sz="1100" b="0" i="0">
                  <a:latin typeface="Cambria Math"/>
                  <a:ea typeface="Cambria Math"/>
                </a:rPr>
                <a:t>𝑓</a:t>
              </a:r>
              <a:r>
                <a:rPr lang="es-PE" sz="1100" b="0" i="0">
                  <a:latin typeface="Cambria Math"/>
                </a:rPr>
                <a:t>−ℎ</a:t>
              </a:r>
              <a:r>
                <a:rPr lang="es-PE" sz="1100" b="0" i="0">
                  <a:latin typeface="Cambria Math" panose="02040503050406030204" pitchFamily="18" charset="0"/>
                </a:rPr>
                <a:t>_𝑧</a:t>
              </a:r>
              <a:r>
                <a:rPr lang="es-PE" sz="1100" b="0" i="0">
                  <a:latin typeface="Cambria Math"/>
                  <a:ea typeface="Cambria Math"/>
                </a:rPr>
                <a:t>∙𝛾</a:t>
              </a:r>
              <a:r>
                <a:rPr lang="es-PE" sz="1100" b="0" i="0">
                  <a:latin typeface="Cambria Math" panose="02040503050406030204" pitchFamily="18" charset="0"/>
                  <a:ea typeface="Cambria Math"/>
                </a:rPr>
                <a:t>_(</a:t>
              </a:r>
              <a:r>
                <a:rPr lang="es-PE" sz="1100" b="0" i="0">
                  <a:latin typeface="Cambria Math"/>
                  <a:ea typeface="Cambria Math"/>
                </a:rPr>
                <a:t>𝑐−</a:t>
              </a:r>
              <a:r>
                <a:rPr lang="es-PE" sz="1100" b="0" i="0">
                  <a:latin typeface="Cambria Math" panose="02040503050406030204" pitchFamily="18" charset="0"/>
                  <a:ea typeface="Cambria Math"/>
                </a:rPr>
                <a:t>)</a:t>
              </a:r>
              <a:r>
                <a:rPr lang="es-PE" sz="1100" b="0" i="0">
                  <a:latin typeface="Cambria Math"/>
                  <a:ea typeface="Cambria Math"/>
                </a:rPr>
                <a:t> </a:t>
              </a:r>
              <a:r>
                <a:rPr lang="es-PE" sz="1100" b="0" i="0">
                  <a:latin typeface="Cambria Math"/>
                </a:rPr>
                <a:t>𝑆/𝐶</a:t>
              </a:r>
              <a:endParaRPr lang="es-PE" sz="1100"/>
            </a:p>
          </xdr:txBody>
        </xdr:sp>
      </mc:Fallback>
    </mc:AlternateContent>
    <xdr:clientData/>
  </xdr:oneCellAnchor>
  <xdr:twoCellAnchor editAs="oneCell">
    <xdr:from>
      <xdr:col>3</xdr:col>
      <xdr:colOff>390525</xdr:colOff>
      <xdr:row>1</xdr:row>
      <xdr:rowOff>163261</xdr:rowOff>
    </xdr:from>
    <xdr:to>
      <xdr:col>10</xdr:col>
      <xdr:colOff>313309</xdr:colOff>
      <xdr:row>16</xdr:row>
      <xdr:rowOff>28575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0275" y="496636"/>
          <a:ext cx="2942209" cy="2351339"/>
        </a:xfrm>
        <a:prstGeom prst="rect">
          <a:avLst/>
        </a:prstGeom>
      </xdr:spPr>
    </xdr:pic>
    <xdr:clientData/>
  </xdr:twoCellAnchor>
  <xdr:twoCellAnchor editAs="oneCell">
    <xdr:from>
      <xdr:col>7</xdr:col>
      <xdr:colOff>48648</xdr:colOff>
      <xdr:row>20</xdr:row>
      <xdr:rowOff>59210</xdr:rowOff>
    </xdr:from>
    <xdr:to>
      <xdr:col>11</xdr:col>
      <xdr:colOff>542925</xdr:colOff>
      <xdr:row>30</xdr:row>
      <xdr:rowOff>76931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9098" y="3412010"/>
          <a:ext cx="2170677" cy="1513146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26</xdr:row>
      <xdr:rowOff>101203</xdr:rowOff>
    </xdr:from>
    <xdr:to>
      <xdr:col>2</xdr:col>
      <xdr:colOff>482203</xdr:colOff>
      <xdr:row>26</xdr:row>
      <xdr:rowOff>101203</xdr:rowOff>
    </xdr:to>
    <xdr:cxnSp macro="">
      <xdr:nvCxnSpPr>
        <xdr:cNvPr id="10" name="9 Conector recto de flecha"/>
        <xdr:cNvCxnSpPr/>
      </xdr:nvCxnSpPr>
      <xdr:spPr>
        <a:xfrm>
          <a:off x="1154906" y="4863703"/>
          <a:ext cx="482203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756046</xdr:colOff>
      <xdr:row>27</xdr:row>
      <xdr:rowOff>95250</xdr:rowOff>
    </xdr:from>
    <xdr:to>
      <xdr:col>2</xdr:col>
      <xdr:colOff>476249</xdr:colOff>
      <xdr:row>27</xdr:row>
      <xdr:rowOff>95250</xdr:rowOff>
    </xdr:to>
    <xdr:cxnSp macro="">
      <xdr:nvCxnSpPr>
        <xdr:cNvPr id="12" name="11 Conector recto de flecha"/>
        <xdr:cNvCxnSpPr/>
      </xdr:nvCxnSpPr>
      <xdr:spPr>
        <a:xfrm>
          <a:off x="1148952" y="5048250"/>
          <a:ext cx="482203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3</xdr:col>
      <xdr:colOff>323850</xdr:colOff>
      <xdr:row>31</xdr:row>
      <xdr:rowOff>28575</xdr:rowOff>
    </xdr:from>
    <xdr:ext cx="914400" cy="4564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12 CuadroTexto"/>
            <xdr:cNvSpPr txBox="1"/>
          </xdr:nvSpPr>
          <xdr:spPr>
            <a:xfrm>
              <a:off x="2171700" y="4752975"/>
              <a:ext cx="914400" cy="4564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/>
                            <a:ea typeface="Cambria Math"/>
                          </a:rPr>
                          <m:t>𝜎</m:t>
                        </m:r>
                      </m:e>
                      <m:sub>
                        <m:r>
                          <a:rPr lang="es-PE" sz="1100" b="0" i="1">
                            <a:latin typeface="Cambria Math"/>
                          </a:rPr>
                          <m:t>𝑢</m:t>
                        </m:r>
                      </m:sub>
                    </m:sSub>
                    <m:r>
                      <a:rPr lang="es-PE" sz="11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es-PE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PE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PE" sz="1100" b="0" i="1">
                                <a:latin typeface="Cambria Math"/>
                              </a:rPr>
                              <m:t>𝑃</m:t>
                            </m:r>
                          </m:e>
                          <m:sub>
                            <m:r>
                              <a:rPr lang="es-PE" sz="1100" b="0" i="1">
                                <a:latin typeface="Cambria Math"/>
                              </a:rPr>
                              <m:t>𝑢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s-PE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PE" sz="1100" b="0" i="1">
                                <a:latin typeface="Cambria Math"/>
                              </a:rPr>
                              <m:t>𝐴</m:t>
                            </m:r>
                          </m:e>
                          <m:sub>
                            <m:r>
                              <a:rPr lang="es-PE" sz="1100" b="0" i="1">
                                <a:latin typeface="Cambria Math"/>
                              </a:rPr>
                              <m:t>𝑧𝑎𝑝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3" name="12 CuadroTexto"/>
            <xdr:cNvSpPr txBox="1"/>
          </xdr:nvSpPr>
          <xdr:spPr>
            <a:xfrm>
              <a:off x="2171700" y="4752975"/>
              <a:ext cx="914400" cy="4564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es-PE" sz="1100" i="0">
                  <a:latin typeface="Cambria Math"/>
                  <a:ea typeface="Cambria Math"/>
                </a:rPr>
                <a:t>𝜎_</a:t>
              </a:r>
              <a:r>
                <a:rPr lang="es-PE" sz="1100" b="0" i="0">
                  <a:latin typeface="Cambria Math"/>
                </a:rPr>
                <a:t>𝑢=𝑃_𝑢/𝐴_𝑧𝑎𝑝 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5</xdr:col>
      <xdr:colOff>219075</xdr:colOff>
      <xdr:row>31</xdr:row>
      <xdr:rowOff>38100</xdr:rowOff>
    </xdr:from>
    <xdr:ext cx="2447925" cy="2762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13 CuadroTexto"/>
            <xdr:cNvSpPr txBox="1"/>
          </xdr:nvSpPr>
          <xdr:spPr>
            <a:xfrm>
              <a:off x="3305175" y="4962525"/>
              <a:ext cx="2447925" cy="2762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es-PE" sz="1100" b="0" i="1">
                            <a:latin typeface="Cambria Math"/>
                          </a:rPr>
                          <m:t>𝑢</m:t>
                        </m:r>
                      </m:sub>
                    </m:sSub>
                    <m:r>
                      <a:rPr lang="es-PE" sz="1100" b="0" i="1">
                        <a:latin typeface="Cambria Math"/>
                      </a:rPr>
                      <m:t>=1.</m:t>
                    </m:r>
                    <m:r>
                      <a:rPr lang="es-PE" sz="1100" b="0" i="1">
                        <a:latin typeface="Cambria Math" panose="02040503050406030204" pitchFamily="18" charset="0"/>
                      </a:rPr>
                      <m:t>4</m:t>
                    </m:r>
                    <m:r>
                      <a:rPr lang="es-PE" sz="1100" b="0" i="1">
                        <a:latin typeface="Cambria Math"/>
                        <a:ea typeface="Cambria Math"/>
                      </a:rPr>
                      <m:t>∙</m:t>
                    </m:r>
                    <m:sSub>
                      <m:sSubPr>
                        <m:ctrlPr>
                          <a:rPr lang="es-PE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𝑃</m:t>
                        </m:r>
                      </m:e>
                      <m:sub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𝐷</m:t>
                        </m:r>
                      </m:sub>
                    </m:sSub>
                    <m:r>
                      <a:rPr lang="es-PE" sz="1100" b="0" i="1">
                        <a:latin typeface="Cambria Math"/>
                        <a:ea typeface="Cambria Math"/>
                      </a:rPr>
                      <m:t>+1.</m:t>
                    </m:r>
                    <m:r>
                      <a:rPr lang="es-PE" sz="1100" b="0" i="1">
                        <a:latin typeface="Cambria Math" panose="02040503050406030204" pitchFamily="18" charset="0"/>
                        <a:ea typeface="Cambria Math"/>
                      </a:rPr>
                      <m:t>7</m:t>
                    </m:r>
                    <m:r>
                      <a:rPr lang="es-PE" sz="1100" b="0" i="1">
                        <a:latin typeface="Cambria Math"/>
                        <a:ea typeface="Cambria Math"/>
                      </a:rPr>
                      <m:t>∙</m:t>
                    </m:r>
                    <m:sSub>
                      <m:sSubPr>
                        <m:ctrlPr>
                          <a:rPr lang="es-PE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𝑃</m:t>
                        </m:r>
                      </m:e>
                      <m:sub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𝐿</m:t>
                        </m:r>
                      </m:sub>
                    </m:sSub>
                    <m:r>
                      <a:rPr lang="es-PE" sz="1100" b="0" i="1">
                        <a:latin typeface="Cambria Math"/>
                        <a:ea typeface="Cambria Math"/>
                      </a:rPr>
                      <m:t>→</m:t>
                    </m:r>
                    <m:r>
                      <a:rPr lang="es-PE" sz="1100" b="0" i="1">
                        <a:latin typeface="Cambria Math"/>
                        <a:ea typeface="Cambria Math"/>
                      </a:rPr>
                      <m:t>𝑁𝑇𝐸</m:t>
                    </m:r>
                    <m:r>
                      <a:rPr lang="es-PE" sz="1100" b="0" i="1">
                        <a:latin typeface="Cambria Math"/>
                        <a:ea typeface="Cambria Math"/>
                      </a:rPr>
                      <m:t> </m:t>
                    </m:r>
                    <m:r>
                      <a:rPr lang="es-PE" sz="1100" b="0" i="1">
                        <a:latin typeface="Cambria Math"/>
                        <a:ea typeface="Cambria Math"/>
                      </a:rPr>
                      <m:t>𝐸</m:t>
                    </m:r>
                    <m:r>
                      <a:rPr lang="es-PE" sz="1100" b="0" i="1">
                        <a:latin typeface="Cambria Math"/>
                        <a:ea typeface="Cambria Math"/>
                      </a:rPr>
                      <m:t>.060</m:t>
                    </m:r>
                  </m:oMath>
                </m:oMathPara>
              </a14:m>
              <a:endParaRPr lang="es-PE" sz="1100" b="0">
                <a:ea typeface="Cambria Math"/>
              </a:endParaRPr>
            </a:p>
          </xdr:txBody>
        </xdr:sp>
      </mc:Choice>
      <mc:Fallback xmlns="">
        <xdr:sp macro="" textlink="">
          <xdr:nvSpPr>
            <xdr:cNvPr id="14" name="13 CuadroTexto"/>
            <xdr:cNvSpPr txBox="1"/>
          </xdr:nvSpPr>
          <xdr:spPr>
            <a:xfrm>
              <a:off x="3305175" y="4962525"/>
              <a:ext cx="2447925" cy="2762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s-PE" sz="1100" b="0" i="0">
                  <a:latin typeface="Cambria Math"/>
                </a:rPr>
                <a:t>𝑃</a:t>
              </a:r>
              <a:r>
                <a:rPr lang="es-PE" sz="1100" b="0" i="0">
                  <a:latin typeface="Cambria Math" panose="02040503050406030204" pitchFamily="18" charset="0"/>
                </a:rPr>
                <a:t>_</a:t>
              </a:r>
              <a:r>
                <a:rPr lang="es-PE" sz="1100" b="0" i="0">
                  <a:latin typeface="Cambria Math"/>
                </a:rPr>
                <a:t>𝑢=1.</a:t>
              </a:r>
              <a:r>
                <a:rPr lang="es-PE" sz="1100" b="0" i="0">
                  <a:latin typeface="Cambria Math" panose="02040503050406030204" pitchFamily="18" charset="0"/>
                </a:rPr>
                <a:t>4</a:t>
              </a:r>
              <a:r>
                <a:rPr lang="es-PE" sz="1100" b="0" i="0">
                  <a:latin typeface="Cambria Math"/>
                  <a:ea typeface="Cambria Math"/>
                </a:rPr>
                <a:t>∙𝑃</a:t>
              </a:r>
              <a:r>
                <a:rPr lang="es-PE" sz="11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es-PE" sz="1100" b="0" i="0">
                  <a:latin typeface="Cambria Math"/>
                  <a:ea typeface="Cambria Math"/>
                </a:rPr>
                <a:t>𝐷+1.</a:t>
              </a:r>
              <a:r>
                <a:rPr lang="es-PE" sz="1100" b="0" i="0">
                  <a:latin typeface="Cambria Math" panose="02040503050406030204" pitchFamily="18" charset="0"/>
                  <a:ea typeface="Cambria Math"/>
                </a:rPr>
                <a:t>7</a:t>
              </a:r>
              <a:r>
                <a:rPr lang="es-PE" sz="1100" b="0" i="0">
                  <a:latin typeface="Cambria Math"/>
                  <a:ea typeface="Cambria Math"/>
                </a:rPr>
                <a:t>∙𝑃</a:t>
              </a:r>
              <a:r>
                <a:rPr lang="es-PE" sz="11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es-PE" sz="1100" b="0" i="0">
                  <a:latin typeface="Cambria Math"/>
                  <a:ea typeface="Cambria Math"/>
                </a:rPr>
                <a:t>𝐿→𝑁𝑇𝐸 𝐸.060</a:t>
              </a:r>
              <a:endParaRPr lang="es-PE" sz="1100" b="0">
                <a:ea typeface="Cambria Math"/>
              </a:endParaRPr>
            </a:p>
          </xdr:txBody>
        </xdr:sp>
      </mc:Fallback>
    </mc:AlternateContent>
    <xdr:clientData/>
  </xdr:oneCellAnchor>
  <xdr:oneCellAnchor>
    <xdr:from>
      <xdr:col>3</xdr:col>
      <xdr:colOff>504824</xdr:colOff>
      <xdr:row>34</xdr:row>
      <xdr:rowOff>85725</xdr:rowOff>
    </xdr:from>
    <xdr:ext cx="1038225" cy="27494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14 CuadroTexto"/>
            <xdr:cNvSpPr txBox="1"/>
          </xdr:nvSpPr>
          <xdr:spPr>
            <a:xfrm>
              <a:off x="2276474" y="5381625"/>
              <a:ext cx="1038225" cy="2749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b="0" i="1">
                            <a:latin typeface="Cambria Math"/>
                          </a:rPr>
                          <m:t>𝐴</m:t>
                        </m:r>
                      </m:e>
                      <m:sub>
                        <m:r>
                          <a:rPr lang="es-PE" sz="1100" b="0" i="1">
                            <a:latin typeface="Cambria Math"/>
                          </a:rPr>
                          <m:t>𝑧𝑎𝑝</m:t>
                        </m:r>
                      </m:sub>
                    </m:sSub>
                    <m:r>
                      <a:rPr lang="es-PE" sz="1100" b="0" i="1">
                        <a:latin typeface="Cambria Math"/>
                      </a:rPr>
                      <m:t>=</m:t>
                    </m:r>
                    <m:r>
                      <a:rPr lang="es-PE" sz="1100" b="0" i="1">
                        <a:latin typeface="Cambria Math"/>
                      </a:rPr>
                      <m:t>𝑇</m:t>
                    </m:r>
                    <m:r>
                      <a:rPr lang="es-PE" sz="1100" b="0" i="1">
                        <a:latin typeface="Cambria Math"/>
                        <a:ea typeface="Cambria Math"/>
                      </a:rPr>
                      <m:t>×</m:t>
                    </m:r>
                    <m:r>
                      <a:rPr lang="es-PE" sz="1100" b="0" i="1">
                        <a:latin typeface="Cambria Math"/>
                      </a:rPr>
                      <m:t>𝑆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5" name="14 CuadroTexto"/>
            <xdr:cNvSpPr txBox="1"/>
          </xdr:nvSpPr>
          <xdr:spPr>
            <a:xfrm>
              <a:off x="2276474" y="5381625"/>
              <a:ext cx="1038225" cy="2749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s-PE" sz="1100" b="0" i="0">
                  <a:latin typeface="Cambria Math"/>
                </a:rPr>
                <a:t>𝐴_𝑧𝑎𝑝=𝑇</a:t>
              </a:r>
              <a:r>
                <a:rPr lang="es-PE" sz="1100" b="0" i="0">
                  <a:latin typeface="Cambria Math"/>
                  <a:ea typeface="Cambria Math"/>
                </a:rPr>
                <a:t>×</a:t>
              </a:r>
              <a:r>
                <a:rPr lang="es-PE" sz="1100" b="0" i="0">
                  <a:latin typeface="Cambria Math"/>
                </a:rPr>
                <a:t>𝑆</a:t>
              </a:r>
              <a:endParaRPr lang="es-PE" sz="1100"/>
            </a:p>
          </xdr:txBody>
        </xdr:sp>
      </mc:Fallback>
    </mc:AlternateContent>
    <xdr:clientData/>
  </xdr:oneCellAnchor>
  <xdr:twoCellAnchor editAs="oneCell">
    <xdr:from>
      <xdr:col>6</xdr:col>
      <xdr:colOff>123826</xdr:colOff>
      <xdr:row>35</xdr:row>
      <xdr:rowOff>15543</xdr:rowOff>
    </xdr:from>
    <xdr:to>
      <xdr:col>11</xdr:col>
      <xdr:colOff>628650</xdr:colOff>
      <xdr:row>46</xdr:row>
      <xdr:rowOff>96003</xdr:rowOff>
    </xdr:to>
    <xdr:pic>
      <xdr:nvPicPr>
        <xdr:cNvPr id="16" name="15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1" y="5501943"/>
          <a:ext cx="2486024" cy="1766385"/>
        </a:xfrm>
        <a:prstGeom prst="rect">
          <a:avLst/>
        </a:prstGeom>
      </xdr:spPr>
    </xdr:pic>
    <xdr:clientData/>
  </xdr:twoCellAnchor>
  <xdr:oneCellAnchor>
    <xdr:from>
      <xdr:col>3</xdr:col>
      <xdr:colOff>361950</xdr:colOff>
      <xdr:row>39</xdr:row>
      <xdr:rowOff>28575</xdr:rowOff>
    </xdr:from>
    <xdr:ext cx="914400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16 CuadroTexto"/>
            <xdr:cNvSpPr txBox="1"/>
          </xdr:nvSpPr>
          <xdr:spPr>
            <a:xfrm>
              <a:off x="2114550" y="7058025"/>
              <a:ext cx="9144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𝑉</m:t>
                        </m:r>
                      </m:e>
                      <m:sub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𝑈</m:t>
                        </m:r>
                      </m:sub>
                    </m:sSub>
                    <m:r>
                      <a:rPr lang="es-PE" sz="1100" b="0" i="1">
                        <a:latin typeface="Cambria Math"/>
                        <a:ea typeface="Cambria Math"/>
                      </a:rPr>
                      <m:t>≤</m:t>
                    </m:r>
                    <m:sSub>
                      <m:sSubPr>
                        <m:ctrlPr>
                          <a:rPr lang="es-PE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∅∙</m:t>
                        </m:r>
                        <m:r>
                          <a:rPr lang="es-PE" sz="1100" b="0" i="1">
                            <a:latin typeface="Cambria Math"/>
                          </a:rPr>
                          <m:t>𝑉</m:t>
                        </m:r>
                      </m:e>
                      <m:sub>
                        <m:r>
                          <a:rPr lang="es-PE" sz="1100" b="0" i="1">
                            <a:latin typeface="Cambria Math"/>
                          </a:rPr>
                          <m:t>𝐶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7" name="16 CuadroTexto"/>
            <xdr:cNvSpPr txBox="1"/>
          </xdr:nvSpPr>
          <xdr:spPr>
            <a:xfrm>
              <a:off x="2114550" y="7058025"/>
              <a:ext cx="9144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es-PE" sz="1100" b="0" i="0">
                  <a:latin typeface="Cambria Math"/>
                  <a:ea typeface="Cambria Math"/>
                </a:rPr>
                <a:t>𝑉_𝑈≤</a:t>
              </a:r>
              <a:r>
                <a:rPr lang="es-PE" sz="1100" b="0" i="0">
                  <a:latin typeface="Cambria Math"/>
                </a:rPr>
                <a:t>〖</a:t>
              </a:r>
              <a:r>
                <a:rPr lang="es-PE" sz="1100" b="0" i="0">
                  <a:latin typeface="Cambria Math"/>
                  <a:ea typeface="Cambria Math"/>
                </a:rPr>
                <a:t>∅∙</a:t>
              </a:r>
              <a:r>
                <a:rPr lang="es-PE" sz="1100" b="0" i="0">
                  <a:latin typeface="Cambria Math"/>
                </a:rPr>
                <a:t>𝑉〗_𝐶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</xdr:col>
      <xdr:colOff>666750</xdr:colOff>
      <xdr:row>42</xdr:row>
      <xdr:rowOff>76200</xdr:rowOff>
    </xdr:from>
    <xdr:ext cx="1504950" cy="2973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17 CuadroTexto"/>
            <xdr:cNvSpPr txBox="1"/>
          </xdr:nvSpPr>
          <xdr:spPr>
            <a:xfrm>
              <a:off x="1057275" y="6600825"/>
              <a:ext cx="1504950" cy="297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 b="0" i="1">
                        <a:latin typeface="Cambria Math"/>
                      </a:rPr>
                      <m:t>1.06</m:t>
                    </m:r>
                    <m:r>
                      <a:rPr lang="es-PE" sz="1100" b="0" i="1">
                        <a:latin typeface="Cambria Math"/>
                        <a:ea typeface="Cambria Math"/>
                      </a:rPr>
                      <m:t>∙∅∙</m:t>
                    </m:r>
                    <m:rad>
                      <m:radPr>
                        <m:degHide m:val="on"/>
                        <m:ctrlPr>
                          <a:rPr lang="es-PE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radPr>
                      <m:deg/>
                      <m:e>
                        <m:sSup>
                          <m:sSupPr>
                            <m:ctrlPr>
                              <a:rPr lang="es-PE" sz="11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pPr>
                          <m:e>
                            <m:r>
                              <a:rPr lang="es-PE" sz="1100" b="0" i="1">
                                <a:latin typeface="Cambria Math"/>
                                <a:ea typeface="Cambria Math"/>
                              </a:rPr>
                              <m:t>𝑓</m:t>
                            </m:r>
                          </m:e>
                          <m:sup>
                            <m:r>
                              <a:rPr lang="es-PE" sz="1100" b="0" i="1">
                                <a:latin typeface="Cambria Math"/>
                                <a:ea typeface="Cambria Math"/>
                              </a:rPr>
                              <m:t>′</m:t>
                            </m:r>
                          </m:sup>
                        </m:sSup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𝑐</m:t>
                        </m:r>
                      </m:e>
                    </m:rad>
                    <m:r>
                      <a:rPr lang="es-PE" sz="1100" b="0" i="1">
                        <a:latin typeface="Cambria Math"/>
                        <a:ea typeface="Cambria Math"/>
                      </a:rPr>
                      <m:t>∙</m:t>
                    </m:r>
                    <m:sSub>
                      <m:sSubPr>
                        <m:ctrlPr>
                          <a:rPr lang="es-PE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𝑏</m:t>
                        </m:r>
                      </m:e>
                      <m:sub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𝑜</m:t>
                        </m:r>
                      </m:sub>
                    </m:sSub>
                    <m:r>
                      <a:rPr lang="es-PE" sz="1100" b="0" i="1">
                        <a:latin typeface="Cambria Math"/>
                        <a:ea typeface="Cambria Math"/>
                      </a:rPr>
                      <m:t>∙</m:t>
                    </m:r>
                    <m:r>
                      <a:rPr lang="es-PE" sz="1100" b="0" i="1">
                        <a:latin typeface="Cambria Math"/>
                        <a:ea typeface="Cambria Math"/>
                      </a:rPr>
                      <m:t>𝑑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8" name="17 CuadroTexto"/>
            <xdr:cNvSpPr txBox="1"/>
          </xdr:nvSpPr>
          <xdr:spPr>
            <a:xfrm>
              <a:off x="1057275" y="6600825"/>
              <a:ext cx="1504950" cy="297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s-PE" sz="1100" b="0" i="0">
                  <a:latin typeface="Cambria Math"/>
                </a:rPr>
                <a:t>1.06</a:t>
              </a:r>
              <a:r>
                <a:rPr lang="es-PE" sz="1100" b="0" i="0">
                  <a:latin typeface="Cambria Math"/>
                  <a:ea typeface="Cambria Math"/>
                </a:rPr>
                <a:t>∙∅∙√(𝑓^′ 𝑐)∙𝑏_𝑜∙𝑑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</xdr:col>
      <xdr:colOff>257175</xdr:colOff>
      <xdr:row>43</xdr:row>
      <xdr:rowOff>123825</xdr:rowOff>
    </xdr:from>
    <xdr:ext cx="2257424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18 CuadroTexto"/>
            <xdr:cNvSpPr txBox="1"/>
          </xdr:nvSpPr>
          <xdr:spPr>
            <a:xfrm>
              <a:off x="647700" y="6810375"/>
              <a:ext cx="2257424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b="0" i="1">
                            <a:latin typeface="Cambria Math"/>
                          </a:rPr>
                          <m:t>𝑏</m:t>
                        </m:r>
                      </m:e>
                      <m:sub>
                        <m:r>
                          <a:rPr lang="es-PE" sz="1100" b="0" i="1">
                            <a:latin typeface="Cambria Math"/>
                          </a:rPr>
                          <m:t>𝑜</m:t>
                        </m:r>
                      </m:sub>
                    </m:sSub>
                    <m:r>
                      <a:rPr lang="es-PE" sz="1100" b="0" i="1">
                        <a:latin typeface="Cambria Math"/>
                      </a:rPr>
                      <m:t>=2</m:t>
                    </m:r>
                    <m:r>
                      <a:rPr lang="es-PE" sz="1100" b="0" i="1">
                        <a:latin typeface="Cambria Math"/>
                        <a:ea typeface="Cambria Math"/>
                      </a:rPr>
                      <m:t>∙</m:t>
                    </m:r>
                    <m:d>
                      <m:dPr>
                        <m:ctrlPr>
                          <a:rPr lang="es-PE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dPr>
                      <m:e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𝑡</m:t>
                        </m:r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1+</m:t>
                        </m:r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𝑑</m:t>
                        </m:r>
                      </m:e>
                    </m:d>
                    <m:r>
                      <a:rPr lang="es-PE" sz="1100" b="0" i="1">
                        <a:latin typeface="Cambria Math"/>
                        <a:ea typeface="Cambria Math"/>
                      </a:rPr>
                      <m:t>+2∙</m:t>
                    </m:r>
                    <m:d>
                      <m:dPr>
                        <m:ctrlPr>
                          <a:rPr lang="es-PE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dPr>
                      <m:e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𝑡</m:t>
                        </m:r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2+</m:t>
                        </m:r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𝑑</m:t>
                        </m:r>
                      </m:e>
                    </m:d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9" name="18 CuadroTexto"/>
            <xdr:cNvSpPr txBox="1"/>
          </xdr:nvSpPr>
          <xdr:spPr>
            <a:xfrm>
              <a:off x="647700" y="6810375"/>
              <a:ext cx="2257424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s-PE" sz="1100" b="0" i="0">
                  <a:latin typeface="Cambria Math"/>
                </a:rPr>
                <a:t>𝑏_𝑜=2</a:t>
              </a:r>
              <a:r>
                <a:rPr lang="es-PE" sz="1100" b="0" i="0">
                  <a:latin typeface="Cambria Math"/>
                  <a:ea typeface="Cambria Math"/>
                </a:rPr>
                <a:t>∙(𝑡1+𝑑)+2∙(𝑡2+𝑑)</a:t>
              </a:r>
              <a:endParaRPr lang="es-PE" sz="1100"/>
            </a:p>
          </xdr:txBody>
        </xdr:sp>
      </mc:Fallback>
    </mc:AlternateContent>
    <xdr:clientData/>
  </xdr:oneCellAnchor>
  <xdr:twoCellAnchor>
    <xdr:from>
      <xdr:col>7</xdr:col>
      <xdr:colOff>72627</xdr:colOff>
      <xdr:row>47</xdr:row>
      <xdr:rowOff>85725</xdr:rowOff>
    </xdr:from>
    <xdr:to>
      <xdr:col>7</xdr:col>
      <xdr:colOff>554830</xdr:colOff>
      <xdr:row>47</xdr:row>
      <xdr:rowOff>85725</xdr:rowOff>
    </xdr:to>
    <xdr:cxnSp macro="">
      <xdr:nvCxnSpPr>
        <xdr:cNvPr id="20" name="19 Conector recto de flecha"/>
        <xdr:cNvCxnSpPr/>
      </xdr:nvCxnSpPr>
      <xdr:spPr>
        <a:xfrm>
          <a:off x="3663552" y="7419975"/>
          <a:ext cx="482203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4</xdr:col>
      <xdr:colOff>47625</xdr:colOff>
      <xdr:row>50</xdr:row>
      <xdr:rowOff>161925</xdr:rowOff>
    </xdr:from>
    <xdr:ext cx="1895475" cy="2973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20 CuadroTexto"/>
            <xdr:cNvSpPr txBox="1"/>
          </xdr:nvSpPr>
          <xdr:spPr>
            <a:xfrm>
              <a:off x="2343150" y="9010650"/>
              <a:ext cx="1895475" cy="297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 i="1">
                        <a:latin typeface="Cambria Math"/>
                        <a:ea typeface="Cambria Math"/>
                      </a:rPr>
                      <m:t>∅∙</m:t>
                    </m:r>
                    <m:sSub>
                      <m:sSubPr>
                        <m:ctrlPr>
                          <a:rPr lang="es-PE" sz="110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𝑉</m:t>
                        </m:r>
                      </m:e>
                      <m:sub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𝐶</m:t>
                        </m:r>
                      </m:sub>
                    </m:sSub>
                    <m:r>
                      <a:rPr lang="es-PE" sz="1100" b="0" i="1">
                        <a:latin typeface="Cambria Math"/>
                        <a:ea typeface="Cambria Math"/>
                      </a:rPr>
                      <m:t>=0.53∙∅∙</m:t>
                    </m:r>
                    <m:rad>
                      <m:radPr>
                        <m:degHide m:val="on"/>
                        <m:ctrlPr>
                          <a:rPr lang="es-PE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radPr>
                      <m:deg/>
                      <m:e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𝑓</m:t>
                        </m:r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´</m:t>
                        </m:r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𝑐</m:t>
                        </m:r>
                      </m:e>
                    </m:rad>
                    <m:r>
                      <a:rPr lang="es-PE" sz="1100" b="0" i="1">
                        <a:latin typeface="Cambria Math"/>
                        <a:ea typeface="Cambria Math"/>
                      </a:rPr>
                      <m:t>∙</m:t>
                    </m:r>
                    <m:r>
                      <a:rPr lang="es-PE" sz="1100" b="0" i="1">
                        <a:latin typeface="Cambria Math"/>
                        <a:ea typeface="Cambria Math"/>
                      </a:rPr>
                      <m:t>𝑏</m:t>
                    </m:r>
                    <m:r>
                      <a:rPr lang="es-PE" sz="1100" b="0" i="1">
                        <a:latin typeface="Cambria Math"/>
                        <a:ea typeface="Cambria Math"/>
                      </a:rPr>
                      <m:t>∙</m:t>
                    </m:r>
                    <m:r>
                      <a:rPr lang="es-PE" sz="1100" b="0" i="1">
                        <a:latin typeface="Cambria Math"/>
                        <a:ea typeface="Cambria Math"/>
                      </a:rPr>
                      <m:t>𝑑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1" name="20 CuadroTexto"/>
            <xdr:cNvSpPr txBox="1"/>
          </xdr:nvSpPr>
          <xdr:spPr>
            <a:xfrm>
              <a:off x="2343150" y="9010650"/>
              <a:ext cx="1895475" cy="297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s-PE" sz="1100" i="0">
                  <a:latin typeface="Cambria Math"/>
                  <a:ea typeface="Cambria Math"/>
                </a:rPr>
                <a:t>∅∙</a:t>
              </a:r>
              <a:r>
                <a:rPr lang="es-PE" sz="1100" b="0" i="0">
                  <a:latin typeface="Cambria Math"/>
                  <a:ea typeface="Cambria Math"/>
                </a:rPr>
                <a:t>𝑉_𝐶=0.53∙∅∙√(𝑓´𝑐)∙𝑏∙𝑑</a:t>
              </a:r>
              <a:endParaRPr lang="es-PE" sz="1100"/>
            </a:p>
          </xdr:txBody>
        </xdr:sp>
      </mc:Fallback>
    </mc:AlternateContent>
    <xdr:clientData/>
  </xdr:oneCellAnchor>
  <xdr:twoCellAnchor>
    <xdr:from>
      <xdr:col>3</xdr:col>
      <xdr:colOff>28575</xdr:colOff>
      <xdr:row>68</xdr:row>
      <xdr:rowOff>114300</xdr:rowOff>
    </xdr:from>
    <xdr:to>
      <xdr:col>3</xdr:col>
      <xdr:colOff>510778</xdr:colOff>
      <xdr:row>68</xdr:row>
      <xdr:rowOff>114300</xdr:rowOff>
    </xdr:to>
    <xdr:cxnSp macro="">
      <xdr:nvCxnSpPr>
        <xdr:cNvPr id="22" name="21 Conector recto de flecha"/>
        <xdr:cNvCxnSpPr/>
      </xdr:nvCxnSpPr>
      <xdr:spPr>
        <a:xfrm>
          <a:off x="1781175" y="11630025"/>
          <a:ext cx="482203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</xdr:colOff>
      <xdr:row>74</xdr:row>
      <xdr:rowOff>85725</xdr:rowOff>
    </xdr:from>
    <xdr:to>
      <xdr:col>3</xdr:col>
      <xdr:colOff>510778</xdr:colOff>
      <xdr:row>74</xdr:row>
      <xdr:rowOff>85725</xdr:rowOff>
    </xdr:to>
    <xdr:cxnSp macro="">
      <xdr:nvCxnSpPr>
        <xdr:cNvPr id="23" name="22 Conector recto de flecha"/>
        <xdr:cNvCxnSpPr/>
      </xdr:nvCxnSpPr>
      <xdr:spPr>
        <a:xfrm>
          <a:off x="1781175" y="12934950"/>
          <a:ext cx="482203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8</xdr:col>
      <xdr:colOff>19050</xdr:colOff>
      <xdr:row>78</xdr:row>
      <xdr:rowOff>66675</xdr:rowOff>
    </xdr:from>
    <xdr:ext cx="914400" cy="4238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1 CuadroTexto"/>
            <xdr:cNvSpPr txBox="1"/>
          </xdr:nvSpPr>
          <xdr:spPr>
            <a:xfrm>
              <a:off x="4162425" y="13868400"/>
              <a:ext cx="914400" cy="423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es-PE" sz="1100" b="0" i="1">
                            <a:latin typeface="Cambria Math"/>
                          </a:rPr>
                          <m:t>𝑛</m:t>
                        </m:r>
                      </m:sub>
                    </m:sSub>
                    <m:r>
                      <a:rPr lang="es-PE" sz="11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es-PE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PE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PE" sz="1100" b="0" i="1">
                                <a:latin typeface="Cambria Math"/>
                              </a:rPr>
                              <m:t>𝑃</m:t>
                            </m:r>
                          </m:e>
                          <m:sub>
                            <m:r>
                              <a:rPr lang="es-PE" sz="1100" b="0" i="1">
                                <a:latin typeface="Cambria Math"/>
                              </a:rPr>
                              <m:t>𝑈</m:t>
                            </m:r>
                          </m:sub>
                        </m:sSub>
                      </m:num>
                      <m:den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∅</m:t>
                        </m:r>
                      </m:den>
                    </m:f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" name="1 CuadroTexto"/>
            <xdr:cNvSpPr txBox="1"/>
          </xdr:nvSpPr>
          <xdr:spPr>
            <a:xfrm>
              <a:off x="4162425" y="13868400"/>
              <a:ext cx="914400" cy="423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es-PE" sz="1100" b="0" i="0">
                  <a:latin typeface="Cambria Math"/>
                </a:rPr>
                <a:t>𝑃_𝑛=𝑃_𝑈/</a:t>
              </a:r>
              <a:r>
                <a:rPr lang="es-PE" sz="1100" b="0" i="0">
                  <a:latin typeface="Cambria Math"/>
                  <a:ea typeface="Cambria Math"/>
                </a:rPr>
                <a:t>∅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9524</xdr:colOff>
      <xdr:row>91</xdr:row>
      <xdr:rowOff>85725</xdr:rowOff>
    </xdr:from>
    <xdr:ext cx="1504951" cy="31284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5 CuadroTexto"/>
            <xdr:cNvSpPr txBox="1"/>
          </xdr:nvSpPr>
          <xdr:spPr>
            <a:xfrm>
              <a:off x="4705349" y="14458950"/>
              <a:ext cx="1504951" cy="31284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es-PE" sz="1100" b="0" i="1">
                            <a:latin typeface="Cambria Math"/>
                          </a:rPr>
                          <m:t>𝑛𝑏</m:t>
                        </m:r>
                      </m:sub>
                    </m:sSub>
                    <m:r>
                      <a:rPr lang="es-PE" sz="1100" b="0" i="1">
                        <a:latin typeface="Cambria Math"/>
                      </a:rPr>
                      <m:t>=</m:t>
                    </m:r>
                    <m:r>
                      <a:rPr lang="es-PE" sz="1100" b="0" i="1">
                        <a:latin typeface="Cambria Math"/>
                        <a:ea typeface="Cambria Math"/>
                      </a:rPr>
                      <m:t>0.85∙</m:t>
                    </m:r>
                    <m:sSubSup>
                      <m:sSubSupPr>
                        <m:ctrlPr>
                          <a:rPr lang="es-PE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s-P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𝑓</m:t>
                        </m:r>
                      </m:e>
                      <m:sub>
                        <m:r>
                          <a:rPr lang="es-P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𝑐</m:t>
                        </m:r>
                      </m:sub>
                      <m:sup>
                        <m:r>
                          <a:rPr lang="es-P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′</m:t>
                        </m:r>
                      </m:sup>
                    </m:sSubSup>
                    <m:r>
                      <a:rPr lang="es-PE" sz="1100" b="0" i="1">
                        <a:latin typeface="Cambria Math"/>
                        <a:ea typeface="Cambria Math"/>
                      </a:rPr>
                      <m:t>∙</m:t>
                    </m:r>
                    <m:sSub>
                      <m:sSubPr>
                        <m:ctrlPr>
                          <a:rPr lang="es-PE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𝐴</m:t>
                        </m:r>
                      </m:e>
                      <m:sub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𝑂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6" name="5 CuadroTexto"/>
            <xdr:cNvSpPr txBox="1"/>
          </xdr:nvSpPr>
          <xdr:spPr>
            <a:xfrm>
              <a:off x="4705349" y="14458950"/>
              <a:ext cx="1504951" cy="31284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s-PE" sz="1100" b="0" i="0">
                  <a:latin typeface="Cambria Math"/>
                </a:rPr>
                <a:t>𝑃_𝑛𝑏=</a:t>
              </a:r>
              <a:r>
                <a:rPr lang="es-PE" sz="1100" b="0" i="0">
                  <a:latin typeface="Cambria Math"/>
                  <a:ea typeface="Cambria Math"/>
                </a:rPr>
                <a:t>0.85∙</a:t>
              </a:r>
              <a:r>
                <a:rPr lang="es-PE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𝑓_𝑐^′</a:t>
              </a:r>
              <a:r>
                <a:rPr lang="es-PE" sz="1100" b="0" i="0">
                  <a:latin typeface="Cambria Math"/>
                  <a:ea typeface="Cambria Math"/>
                </a:rPr>
                <a:t>∙𝐴_𝑂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133350</xdr:colOff>
      <xdr:row>87</xdr:row>
      <xdr:rowOff>47625</xdr:rowOff>
    </xdr:from>
    <xdr:ext cx="914400" cy="59247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6 CuadroTexto"/>
            <xdr:cNvSpPr txBox="1"/>
          </xdr:nvSpPr>
          <xdr:spPr>
            <a:xfrm>
              <a:off x="4743450" y="15373350"/>
              <a:ext cx="914400" cy="5924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lang="es-PE" sz="11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s-PE" sz="11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s-PE" sz="1100" b="0" i="1">
                                    <a:latin typeface="Cambria Math"/>
                                  </a:rPr>
                                  <m:t>𝐴</m:t>
                                </m:r>
                              </m:e>
                              <m:sub>
                                <m:r>
                                  <a:rPr lang="es-PE" sz="1100" b="0" i="1">
                                    <a:latin typeface="Cambria Math"/>
                                  </a:rPr>
                                  <m:t>2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es-PE" sz="11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s-PE" sz="1100" b="0" i="1">
                                    <a:latin typeface="Cambria Math"/>
                                  </a:rPr>
                                  <m:t>𝐴</m:t>
                                </m:r>
                              </m:e>
                              <m:sub>
                                <m:r>
                                  <a:rPr lang="es-PE" sz="1100" b="0" i="1">
                                    <a:latin typeface="Cambria Math"/>
                                  </a:rPr>
                                  <m:t>1</m:t>
                                </m:r>
                              </m:sub>
                            </m:sSub>
                          </m:den>
                        </m:f>
                      </m:e>
                    </m:rad>
                    <m:r>
                      <a:rPr lang="es-PE" sz="1100" i="1">
                        <a:latin typeface="Cambria Math"/>
                        <a:ea typeface="Cambria Math"/>
                      </a:rPr>
                      <m:t>≤</m:t>
                    </m:r>
                    <m:r>
                      <a:rPr lang="es-PE" sz="1100" b="0" i="1">
                        <a:latin typeface="Cambria Math"/>
                        <a:ea typeface="Cambria Math"/>
                      </a:rPr>
                      <m:t>2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7" name="6 CuadroTexto"/>
            <xdr:cNvSpPr txBox="1"/>
          </xdr:nvSpPr>
          <xdr:spPr>
            <a:xfrm>
              <a:off x="4743450" y="15373350"/>
              <a:ext cx="914400" cy="5924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es-PE" sz="1100" i="0">
                  <a:latin typeface="Cambria Math"/>
                </a:rPr>
                <a:t>√(</a:t>
              </a:r>
              <a:r>
                <a:rPr lang="es-PE" sz="1100" b="0" i="0">
                  <a:latin typeface="Cambria Math"/>
                </a:rPr>
                <a:t>𝐴_2/𝐴_1 )</a:t>
              </a:r>
              <a:r>
                <a:rPr lang="es-PE" sz="1100" i="0">
                  <a:latin typeface="Cambria Math"/>
                  <a:ea typeface="Cambria Math"/>
                </a:rPr>
                <a:t>≤</a:t>
              </a:r>
              <a:r>
                <a:rPr lang="es-PE" sz="1100" b="0" i="0">
                  <a:latin typeface="Cambria Math"/>
                  <a:ea typeface="Cambria Math"/>
                </a:rPr>
                <a:t>2</a:t>
              </a:r>
              <a:endParaRPr lang="es-PE" sz="1100"/>
            </a:p>
          </xdr:txBody>
        </xdr:sp>
      </mc:Fallback>
    </mc:AlternateContent>
    <xdr:clientData/>
  </xdr:oneCellAnchor>
  <xdr:twoCellAnchor>
    <xdr:from>
      <xdr:col>4</xdr:col>
      <xdr:colOff>511342</xdr:colOff>
      <xdr:row>91</xdr:row>
      <xdr:rowOff>70188</xdr:rowOff>
    </xdr:from>
    <xdr:to>
      <xdr:col>4</xdr:col>
      <xdr:colOff>606592</xdr:colOff>
      <xdr:row>91</xdr:row>
      <xdr:rowOff>75197</xdr:rowOff>
    </xdr:to>
    <xdr:cxnSp macro="">
      <xdr:nvCxnSpPr>
        <xdr:cNvPr id="9" name="8 Conector recto"/>
        <xdr:cNvCxnSpPr/>
      </xdr:nvCxnSpPr>
      <xdr:spPr>
        <a:xfrm>
          <a:off x="2882566" y="16162425"/>
          <a:ext cx="95250" cy="5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616618</xdr:colOff>
      <xdr:row>91</xdr:row>
      <xdr:rowOff>85224</xdr:rowOff>
    </xdr:from>
    <xdr:to>
      <xdr:col>4</xdr:col>
      <xdr:colOff>631658</xdr:colOff>
      <xdr:row>92</xdr:row>
      <xdr:rowOff>0</xdr:rowOff>
    </xdr:to>
    <xdr:cxnSp macro="">
      <xdr:nvCxnSpPr>
        <xdr:cNvPr id="31" name="30 Conector recto"/>
        <xdr:cNvCxnSpPr/>
      </xdr:nvCxnSpPr>
      <xdr:spPr>
        <a:xfrm>
          <a:off x="2987842" y="16177461"/>
          <a:ext cx="15040" cy="10527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641684</xdr:colOff>
      <xdr:row>90</xdr:row>
      <xdr:rowOff>0</xdr:rowOff>
    </xdr:from>
    <xdr:to>
      <xdr:col>4</xdr:col>
      <xdr:colOff>751973</xdr:colOff>
      <xdr:row>92</xdr:row>
      <xdr:rowOff>5013</xdr:rowOff>
    </xdr:to>
    <xdr:cxnSp macro="">
      <xdr:nvCxnSpPr>
        <xdr:cNvPr id="33" name="32 Conector recto"/>
        <xdr:cNvCxnSpPr/>
      </xdr:nvCxnSpPr>
      <xdr:spPr>
        <a:xfrm flipV="1">
          <a:off x="3012908" y="15901737"/>
          <a:ext cx="110289" cy="3860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756987</xdr:colOff>
      <xdr:row>90</xdr:row>
      <xdr:rowOff>0</xdr:rowOff>
    </xdr:from>
    <xdr:to>
      <xdr:col>6</xdr:col>
      <xdr:colOff>10026</xdr:colOff>
      <xdr:row>90</xdr:row>
      <xdr:rowOff>5013</xdr:rowOff>
    </xdr:to>
    <xdr:cxnSp macro="">
      <xdr:nvCxnSpPr>
        <xdr:cNvPr id="35" name="34 Conector recto"/>
        <xdr:cNvCxnSpPr/>
      </xdr:nvCxnSpPr>
      <xdr:spPr>
        <a:xfrm>
          <a:off x="3128211" y="15901737"/>
          <a:ext cx="215565" cy="50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15039</xdr:colOff>
      <xdr:row>90</xdr:row>
      <xdr:rowOff>5013</xdr:rowOff>
    </xdr:from>
    <xdr:to>
      <xdr:col>6</xdr:col>
      <xdr:colOff>30079</xdr:colOff>
      <xdr:row>90</xdr:row>
      <xdr:rowOff>65171</xdr:rowOff>
    </xdr:to>
    <xdr:cxnSp macro="">
      <xdr:nvCxnSpPr>
        <xdr:cNvPr id="37" name="36 Conector recto"/>
        <xdr:cNvCxnSpPr/>
      </xdr:nvCxnSpPr>
      <xdr:spPr>
        <a:xfrm>
          <a:off x="3348789" y="15906750"/>
          <a:ext cx="15040" cy="601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91</xdr:row>
      <xdr:rowOff>0</xdr:rowOff>
    </xdr:from>
    <xdr:to>
      <xdr:col>9</xdr:col>
      <xdr:colOff>0</xdr:colOff>
      <xdr:row>91</xdr:row>
      <xdr:rowOff>9525</xdr:rowOff>
    </xdr:to>
    <xdr:cxnSp macro="">
      <xdr:nvCxnSpPr>
        <xdr:cNvPr id="38" name="37 Conector recto de flecha"/>
        <xdr:cNvCxnSpPr/>
      </xdr:nvCxnSpPr>
      <xdr:spPr>
        <a:xfrm>
          <a:off x="4143375" y="16087725"/>
          <a:ext cx="26670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0</xdr:colOff>
      <xdr:row>81</xdr:row>
      <xdr:rowOff>0</xdr:rowOff>
    </xdr:from>
    <xdr:ext cx="1609726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39 CuadroTexto"/>
            <xdr:cNvSpPr txBox="1"/>
          </xdr:nvSpPr>
          <xdr:spPr>
            <a:xfrm>
              <a:off x="4695825" y="12839700"/>
              <a:ext cx="1609726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es-PE" sz="1100" b="0" i="1">
                            <a:latin typeface="Cambria Math"/>
                          </a:rPr>
                          <m:t>𝑛𝑏</m:t>
                        </m:r>
                      </m:sub>
                    </m:sSub>
                    <m:r>
                      <a:rPr lang="es-PE" sz="1100" b="0" i="1">
                        <a:latin typeface="Cambria Math"/>
                      </a:rPr>
                      <m:t>=</m:t>
                    </m:r>
                    <m:r>
                      <a:rPr lang="es-PE" sz="1100" b="0" i="1">
                        <a:latin typeface="Cambria Math"/>
                        <a:ea typeface="Cambria Math"/>
                      </a:rPr>
                      <m:t>0.85∙</m:t>
                    </m:r>
                    <m:sSubSup>
                      <m:sSubSupPr>
                        <m:ctrlPr>
                          <a:rPr lang="es-PE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SupPr>
                      <m:e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𝑓</m:t>
                        </m:r>
                      </m:e>
                      <m:sub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𝑐</m:t>
                        </m:r>
                      </m:sub>
                      <m:sup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′</m:t>
                        </m:r>
                      </m:sup>
                    </m:sSubSup>
                    <m:r>
                      <a:rPr lang="es-PE" sz="1100" b="0" i="1">
                        <a:latin typeface="Cambria Math"/>
                        <a:ea typeface="Cambria Math"/>
                      </a:rPr>
                      <m:t>∙</m:t>
                    </m:r>
                    <m:sSub>
                      <m:sSubPr>
                        <m:ctrlPr>
                          <a:rPr lang="es-PE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𝐴</m:t>
                        </m:r>
                      </m:e>
                      <m:sub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𝐶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0" name="39 CuadroTexto"/>
            <xdr:cNvSpPr txBox="1"/>
          </xdr:nvSpPr>
          <xdr:spPr>
            <a:xfrm>
              <a:off x="4695825" y="12839700"/>
              <a:ext cx="1609726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s-PE" sz="1100" b="0" i="0">
                  <a:latin typeface="Cambria Math"/>
                </a:rPr>
                <a:t>𝑃_𝑛𝑏=</a:t>
              </a:r>
              <a:r>
                <a:rPr lang="es-PE" sz="1100" b="0" i="0">
                  <a:latin typeface="Cambria Math"/>
                  <a:ea typeface="Cambria Math"/>
                </a:rPr>
                <a:t>0.85∙𝑓_𝑐^′∙𝐴_𝐶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5</xdr:col>
      <xdr:colOff>171449</xdr:colOff>
      <xdr:row>32</xdr:row>
      <xdr:rowOff>114300</xdr:rowOff>
    </xdr:from>
    <xdr:ext cx="2790826" cy="2762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41 CuadroTexto"/>
            <xdr:cNvSpPr txBox="1"/>
          </xdr:nvSpPr>
          <xdr:spPr>
            <a:xfrm>
              <a:off x="3257549" y="5200650"/>
              <a:ext cx="2790826" cy="2762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es-PE" sz="1100" b="0" i="1">
                            <a:latin typeface="Cambria Math"/>
                          </a:rPr>
                          <m:t>𝑢</m:t>
                        </m:r>
                      </m:sub>
                    </m:sSub>
                    <m:r>
                      <a:rPr lang="es-PE" sz="1100" b="0" i="1">
                        <a:latin typeface="Cambria Math"/>
                      </a:rPr>
                      <m:t>=1.2</m:t>
                    </m:r>
                    <m:r>
                      <a:rPr lang="es-PE" sz="1100" b="0" i="1">
                        <a:latin typeface="Cambria Math"/>
                        <a:ea typeface="Cambria Math"/>
                      </a:rPr>
                      <m:t>∙</m:t>
                    </m:r>
                    <m:sSub>
                      <m:sSubPr>
                        <m:ctrlPr>
                          <a:rPr lang="es-PE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𝑃</m:t>
                        </m:r>
                      </m:e>
                      <m:sub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𝐷</m:t>
                        </m:r>
                      </m:sub>
                    </m:sSub>
                    <m:r>
                      <a:rPr lang="es-PE" sz="1100" b="0" i="1">
                        <a:latin typeface="Cambria Math"/>
                        <a:ea typeface="Cambria Math"/>
                      </a:rPr>
                      <m:t>+1.6∙</m:t>
                    </m:r>
                    <m:sSub>
                      <m:sSubPr>
                        <m:ctrlPr>
                          <a:rPr lang="es-PE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𝑃</m:t>
                        </m:r>
                      </m:e>
                      <m:sub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𝐿</m:t>
                        </m:r>
                      </m:sub>
                    </m:sSub>
                    <m:r>
                      <a:rPr lang="es-PE" sz="1100" b="0" i="1">
                        <a:latin typeface="Cambria Math"/>
                        <a:ea typeface="Cambria Math"/>
                      </a:rPr>
                      <m:t>→</m:t>
                    </m:r>
                    <m:r>
                      <a:rPr lang="es-PE" sz="1100" b="0" i="1">
                        <a:latin typeface="Cambria Math"/>
                        <a:ea typeface="Cambria Math"/>
                      </a:rPr>
                      <m:t>𝐴𝐶𝐼</m:t>
                    </m:r>
                    <m:r>
                      <a:rPr lang="es-PE" sz="1100" b="0" i="1">
                        <a:latin typeface="Cambria Math"/>
                        <a:ea typeface="Cambria Math"/>
                      </a:rPr>
                      <m:t> 318</m:t>
                    </m:r>
                    <m:r>
                      <a:rPr lang="es-PE" sz="1100" b="0" i="1">
                        <a:latin typeface="Cambria Math"/>
                        <a:ea typeface="Cambria Math"/>
                      </a:rPr>
                      <m:t>𝑆</m:t>
                    </m:r>
                    <m:r>
                      <a:rPr lang="es-PE" sz="1100" b="0" i="1">
                        <a:latin typeface="Cambria Math"/>
                        <a:ea typeface="Cambria Math"/>
                      </a:rPr>
                      <m:t>−08</m:t>
                    </m:r>
                  </m:oMath>
                </m:oMathPara>
              </a14:m>
              <a:endParaRPr lang="es-PE" sz="1100" b="0">
                <a:ea typeface="Cambria Math"/>
              </a:endParaRPr>
            </a:p>
          </xdr:txBody>
        </xdr:sp>
      </mc:Choice>
      <mc:Fallback xmlns="">
        <xdr:sp macro="" textlink="">
          <xdr:nvSpPr>
            <xdr:cNvPr id="42" name="41 CuadroTexto"/>
            <xdr:cNvSpPr txBox="1"/>
          </xdr:nvSpPr>
          <xdr:spPr>
            <a:xfrm>
              <a:off x="3257549" y="5200650"/>
              <a:ext cx="2790826" cy="2762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s-PE" sz="1100" b="0" i="0">
                  <a:latin typeface="Cambria Math"/>
                </a:rPr>
                <a:t>𝑃_𝑢=1.2</a:t>
              </a:r>
              <a:r>
                <a:rPr lang="es-PE" sz="1100" b="0" i="0">
                  <a:latin typeface="Cambria Math"/>
                  <a:ea typeface="Cambria Math"/>
                </a:rPr>
                <a:t>∙𝑃_𝐷+1.6∙𝑃_𝐿→𝐴𝐶𝐼 318𝑆−08</a:t>
              </a:r>
              <a:endParaRPr lang="es-PE" sz="1100" b="0">
                <a:ea typeface="Cambria Math"/>
              </a:endParaRPr>
            </a:p>
          </xdr:txBody>
        </xdr:sp>
      </mc:Fallback>
    </mc:AlternateContent>
    <xdr:clientData/>
  </xdr:oneCellAnchor>
  <xdr:oneCellAnchor>
    <xdr:from>
      <xdr:col>9</xdr:col>
      <xdr:colOff>0</xdr:colOff>
      <xdr:row>60</xdr:row>
      <xdr:rowOff>47625</xdr:rowOff>
    </xdr:from>
    <xdr:ext cx="914400" cy="4195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7 CuadroTexto"/>
            <xdr:cNvSpPr txBox="1"/>
          </xdr:nvSpPr>
          <xdr:spPr>
            <a:xfrm>
              <a:off x="4400550" y="9486900"/>
              <a:ext cx="914400" cy="4195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b="0" i="1">
                            <a:latin typeface="Cambria Math"/>
                          </a:rPr>
                          <m:t>𝑅</m:t>
                        </m:r>
                      </m:e>
                      <m:sub>
                        <m:r>
                          <a:rPr lang="es-PE" sz="1100" b="0" i="1">
                            <a:latin typeface="Cambria Math"/>
                          </a:rPr>
                          <m:t>𝑢</m:t>
                        </m:r>
                      </m:sub>
                    </m:sSub>
                    <m:r>
                      <a:rPr lang="es-PE" sz="11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es-PE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PE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PE" sz="1100" b="0" i="1">
                                <a:latin typeface="Cambria Math"/>
                              </a:rPr>
                              <m:t>𝑀</m:t>
                            </m:r>
                          </m:e>
                          <m:sub>
                            <m:r>
                              <a:rPr lang="es-PE" sz="1100" b="0" i="1">
                                <a:latin typeface="Cambria Math"/>
                              </a:rPr>
                              <m:t>𝑢</m:t>
                            </m:r>
                          </m:sub>
                        </m:sSub>
                      </m:num>
                      <m:den>
                        <m:r>
                          <a:rPr lang="es-PE" sz="1100" b="0" i="1">
                            <a:latin typeface="Cambria Math"/>
                          </a:rPr>
                          <m:t>𝑏</m:t>
                        </m:r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∙</m:t>
                        </m:r>
                        <m:sSup>
                          <m:sSupPr>
                            <m:ctrlPr>
                              <a:rPr lang="es-PE" sz="11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pPr>
                          <m:e>
                            <m:r>
                              <a:rPr lang="es-PE" sz="1100" b="0" i="1">
                                <a:latin typeface="Cambria Math"/>
                                <a:ea typeface="Cambria Math"/>
                              </a:rPr>
                              <m:t>𝑑</m:t>
                            </m:r>
                          </m:e>
                          <m:sup>
                            <m:r>
                              <a:rPr lang="es-PE" sz="1100" b="0" i="1">
                                <a:latin typeface="Cambria Math"/>
                                <a:ea typeface="Cambria Math"/>
                              </a:rPr>
                              <m:t>2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8" name="7 CuadroTexto"/>
            <xdr:cNvSpPr txBox="1"/>
          </xdr:nvSpPr>
          <xdr:spPr>
            <a:xfrm>
              <a:off x="4400550" y="9486900"/>
              <a:ext cx="914400" cy="4195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es-PE" sz="1100" b="0" i="0">
                  <a:latin typeface="Cambria Math"/>
                </a:rPr>
                <a:t>𝑅_𝑢=𝑀_𝑢/(𝑏</a:t>
              </a:r>
              <a:r>
                <a:rPr lang="es-PE" sz="1100" b="0" i="0">
                  <a:latin typeface="Cambria Math"/>
                  <a:ea typeface="Cambria Math"/>
                </a:rPr>
                <a:t>∙𝑑^2 )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0</xdr:col>
      <xdr:colOff>409575</xdr:colOff>
      <xdr:row>114</xdr:row>
      <xdr:rowOff>47625</xdr:rowOff>
    </xdr:from>
    <xdr:ext cx="2514599" cy="63729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23 CuadroTexto"/>
            <xdr:cNvSpPr txBox="1"/>
          </xdr:nvSpPr>
          <xdr:spPr>
            <a:xfrm>
              <a:off x="409575" y="18230850"/>
              <a:ext cx="2514599" cy="6372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b="0" i="1">
                            <a:latin typeface="Cambria Math"/>
                          </a:rPr>
                          <m:t>𝑙</m:t>
                        </m:r>
                      </m:e>
                      <m:sub>
                        <m:r>
                          <a:rPr lang="es-PE" sz="1100" b="0" i="1">
                            <a:latin typeface="Cambria Math"/>
                          </a:rPr>
                          <m:t>𝑑</m:t>
                        </m:r>
                      </m:sub>
                    </m:sSub>
                    <m:r>
                      <a:rPr lang="es-PE" sz="1100" b="0" i="1">
                        <a:latin typeface="Cambria Math"/>
                      </a:rPr>
                      <m:t>=</m:t>
                    </m:r>
                    <m:d>
                      <m:dPr>
                        <m:ctrlPr>
                          <a:rPr lang="es-PE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s-PE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s-PE" sz="1100" b="0" i="1">
                                <a:latin typeface="Cambria Math"/>
                              </a:rPr>
                              <m:t>𝑓𝑦</m:t>
                            </m:r>
                          </m:num>
                          <m:den>
                            <m:r>
                              <a:rPr lang="es-PE" sz="1100" b="0" i="1">
                                <a:latin typeface="Cambria Math"/>
                              </a:rPr>
                              <m:t>3.51</m:t>
                            </m:r>
                            <m:r>
                              <a:rPr lang="es-PE" sz="1100" b="0" i="1">
                                <a:latin typeface="Cambria Math"/>
                                <a:ea typeface="Cambria Math"/>
                              </a:rPr>
                              <m:t>∙</m:t>
                            </m:r>
                            <m:r>
                              <a:rPr lang="es-PE" sz="1100" b="0" i="1">
                                <a:latin typeface="Cambria Math"/>
                                <a:ea typeface="Cambria Math"/>
                              </a:rPr>
                              <m:t>𝜆</m:t>
                            </m:r>
                            <m:r>
                              <a:rPr lang="es-PE" sz="1100" b="0" i="1">
                                <a:latin typeface="Cambria Math"/>
                                <a:ea typeface="Cambria Math"/>
                              </a:rPr>
                              <m:t>∙</m:t>
                            </m:r>
                            <m:rad>
                              <m:radPr>
                                <m:degHide m:val="on"/>
                                <m:ctrlPr>
                                  <a:rPr lang="es-PE" sz="1100" b="0" i="1">
                                    <a:latin typeface="Cambria Math" panose="02040503050406030204" pitchFamily="18" charset="0"/>
                                    <a:ea typeface="Cambria Math"/>
                                  </a:rPr>
                                </m:ctrlPr>
                              </m:radPr>
                              <m:deg/>
                              <m:e>
                                <m:sSup>
                                  <m:sSupPr>
                                    <m:ctrlPr>
                                      <a:rPr lang="es-PE" sz="1100" b="0" i="1">
                                        <a:latin typeface="Cambria Math" panose="02040503050406030204" pitchFamily="18" charset="0"/>
                                        <a:ea typeface="Cambria Math"/>
                                      </a:rPr>
                                    </m:ctrlPr>
                                  </m:sSupPr>
                                  <m:e>
                                    <m:r>
                                      <a:rPr lang="es-PE" sz="1100" b="0" i="1">
                                        <a:latin typeface="Cambria Math"/>
                                        <a:ea typeface="Cambria Math"/>
                                      </a:rPr>
                                      <m:t>𝑓</m:t>
                                    </m:r>
                                  </m:e>
                                  <m:sup>
                                    <m:r>
                                      <a:rPr lang="es-PE" sz="1100" b="0" i="1">
                                        <a:latin typeface="Cambria Math"/>
                                        <a:ea typeface="Cambria Math"/>
                                      </a:rPr>
                                      <m:t>′</m:t>
                                    </m:r>
                                  </m:sup>
                                </m:sSup>
                                <m:r>
                                  <a:rPr lang="es-PE" sz="1100" b="0" i="1">
                                    <a:latin typeface="Cambria Math"/>
                                    <a:ea typeface="Cambria Math"/>
                                  </a:rPr>
                                  <m:t>𝑐</m:t>
                                </m:r>
                              </m:e>
                            </m:rad>
                          </m:den>
                        </m:f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∙</m:t>
                        </m:r>
                        <m:f>
                          <m:fPr>
                            <m:ctrlPr>
                              <a:rPr lang="es-PE" sz="11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s-PE" sz="1100" b="0" i="1">
                                    <a:latin typeface="Cambria Math" panose="02040503050406030204" pitchFamily="18" charset="0"/>
                                    <a:ea typeface="Cambria Math"/>
                                  </a:rPr>
                                </m:ctrlPr>
                              </m:sSubPr>
                              <m:e>
                                <m:r>
                                  <a:rPr lang="es-PE" sz="1100" b="0" i="1">
                                    <a:latin typeface="Cambria Math"/>
                                    <a:ea typeface="Cambria Math"/>
                                  </a:rPr>
                                  <m:t>𝜓</m:t>
                                </m:r>
                              </m:e>
                              <m:sub>
                                <m:r>
                                  <a:rPr lang="es-PE" sz="1100" b="0" i="1">
                                    <a:latin typeface="Cambria Math"/>
                                    <a:ea typeface="Cambria Math"/>
                                  </a:rPr>
                                  <m:t>𝑡</m:t>
                                </m:r>
                              </m:sub>
                            </m:sSub>
                            <m:r>
                              <a:rPr lang="es-PE" sz="1100" b="0" i="1">
                                <a:latin typeface="Cambria Math"/>
                                <a:ea typeface="Cambria Math"/>
                              </a:rPr>
                              <m:t>∙</m:t>
                            </m:r>
                            <m:sSub>
                              <m:sSubPr>
                                <m:ctrlPr>
                                  <a:rPr lang="es-PE" sz="1100" b="0" i="1">
                                    <a:latin typeface="Cambria Math" panose="02040503050406030204" pitchFamily="18" charset="0"/>
                                    <a:ea typeface="Cambria Math"/>
                                  </a:rPr>
                                </m:ctrlPr>
                              </m:sSubPr>
                              <m:e>
                                <m:r>
                                  <a:rPr lang="es-PE" sz="1100" b="0" i="1">
                                    <a:latin typeface="Cambria Math"/>
                                    <a:ea typeface="Cambria Math"/>
                                  </a:rPr>
                                  <m:t>𝜓</m:t>
                                </m:r>
                              </m:e>
                              <m:sub>
                                <m:r>
                                  <a:rPr lang="es-PE" sz="1100" b="0" i="1">
                                    <a:latin typeface="Cambria Math"/>
                                    <a:ea typeface="Cambria Math"/>
                                  </a:rPr>
                                  <m:t>𝑒</m:t>
                                </m:r>
                              </m:sub>
                            </m:sSub>
                            <m:r>
                              <a:rPr lang="es-PE" sz="1100" b="0" i="1">
                                <a:latin typeface="Cambria Math"/>
                                <a:ea typeface="Cambria Math"/>
                              </a:rPr>
                              <m:t>∙</m:t>
                            </m:r>
                            <m:sSub>
                              <m:sSubPr>
                                <m:ctrlPr>
                                  <a:rPr lang="es-PE" sz="1100" b="0" i="1">
                                    <a:latin typeface="Cambria Math" panose="02040503050406030204" pitchFamily="18" charset="0"/>
                                    <a:ea typeface="Cambria Math"/>
                                  </a:rPr>
                                </m:ctrlPr>
                              </m:sSubPr>
                              <m:e>
                                <m:r>
                                  <a:rPr lang="es-PE" sz="1100" b="0" i="1">
                                    <a:latin typeface="Cambria Math"/>
                                    <a:ea typeface="Cambria Math"/>
                                  </a:rPr>
                                  <m:t>𝜓</m:t>
                                </m:r>
                              </m:e>
                              <m:sub>
                                <m:r>
                                  <a:rPr lang="es-PE" sz="1100" b="0" i="1">
                                    <a:latin typeface="Cambria Math"/>
                                    <a:ea typeface="Cambria Math"/>
                                  </a:rPr>
                                  <m:t>𝑠</m:t>
                                </m:r>
                              </m:sub>
                            </m:sSub>
                          </m:num>
                          <m:den>
                            <m:d>
                              <m:dPr>
                                <m:ctrlPr>
                                  <a:rPr lang="es-PE" sz="1100" b="0" i="1">
                                    <a:latin typeface="Cambria Math" panose="02040503050406030204" pitchFamily="18" charset="0"/>
                                    <a:ea typeface="Cambria Math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s-PE" sz="1100" b="0" i="1">
                                        <a:latin typeface="Cambria Math" panose="02040503050406030204" pitchFamily="18" charset="0"/>
                                        <a:ea typeface="Cambria Math"/>
                                      </a:rPr>
                                    </m:ctrlPr>
                                  </m:fPr>
                                  <m:num>
                                    <m:sSub>
                                      <m:sSubPr>
                                        <m:ctrlPr>
                                          <a:rPr lang="es-PE" sz="1100" b="0" i="1">
                                            <a:latin typeface="Cambria Math" panose="02040503050406030204" pitchFamily="18" charset="0"/>
                                            <a:ea typeface="Cambria Math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s-PE" sz="1100" b="0" i="1">
                                            <a:latin typeface="Cambria Math"/>
                                            <a:ea typeface="Cambria Math"/>
                                          </a:rPr>
                                          <m:t>𝑐</m:t>
                                        </m:r>
                                      </m:e>
                                      <m:sub>
                                        <m:r>
                                          <a:rPr lang="es-PE" sz="1100" b="0" i="1">
                                            <a:latin typeface="Cambria Math"/>
                                            <a:ea typeface="Cambria Math"/>
                                          </a:rPr>
                                          <m:t>𝑏</m:t>
                                        </m:r>
                                      </m:sub>
                                    </m:sSub>
                                    <m:r>
                                      <a:rPr lang="es-PE" sz="1100" b="0" i="1">
                                        <a:latin typeface="Cambria Math"/>
                                        <a:ea typeface="Cambria Math"/>
                                      </a:rPr>
                                      <m:t>+</m:t>
                                    </m:r>
                                    <m:sSub>
                                      <m:sSubPr>
                                        <m:ctrlPr>
                                          <a:rPr lang="es-PE" sz="1100" b="0" i="1">
                                            <a:latin typeface="Cambria Math" panose="02040503050406030204" pitchFamily="18" charset="0"/>
                                            <a:ea typeface="Cambria Math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s-PE" sz="1100" b="0" i="1">
                                            <a:latin typeface="Cambria Math"/>
                                            <a:ea typeface="Cambria Math"/>
                                          </a:rPr>
                                          <m:t>𝑘</m:t>
                                        </m:r>
                                      </m:e>
                                      <m:sub>
                                        <m:r>
                                          <a:rPr lang="es-PE" sz="1100" b="0" i="1">
                                            <a:latin typeface="Cambria Math"/>
                                            <a:ea typeface="Cambria Math"/>
                                          </a:rPr>
                                          <m:t>𝑡𝑟</m:t>
                                        </m:r>
                                      </m:sub>
                                    </m:sSub>
                                  </m:num>
                                  <m:den>
                                    <m:sSub>
                                      <m:sSubPr>
                                        <m:ctrlPr>
                                          <a:rPr lang="es-PE" sz="1100" b="0" i="1">
                                            <a:latin typeface="Cambria Math" panose="02040503050406030204" pitchFamily="18" charset="0"/>
                                            <a:ea typeface="Cambria Math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s-PE" sz="1100" b="0" i="1">
                                            <a:latin typeface="Cambria Math"/>
                                            <a:ea typeface="Cambria Math"/>
                                          </a:rPr>
                                          <m:t>𝑑</m:t>
                                        </m:r>
                                      </m:e>
                                      <m:sub>
                                        <m:r>
                                          <a:rPr lang="es-PE" sz="1100" b="0" i="1">
                                            <a:latin typeface="Cambria Math"/>
                                            <a:ea typeface="Cambria Math"/>
                                          </a:rPr>
                                          <m:t>𝑏</m:t>
                                        </m:r>
                                      </m:sub>
                                    </m:sSub>
                                  </m:den>
                                </m:f>
                              </m:e>
                            </m:d>
                          </m:den>
                        </m:f>
                      </m:e>
                    </m:d>
                    <m:r>
                      <a:rPr lang="es-PE" sz="1100" b="0" i="1">
                        <a:latin typeface="Cambria Math"/>
                        <a:ea typeface="Cambria Math"/>
                      </a:rPr>
                      <m:t>∙</m:t>
                    </m:r>
                    <m:sSub>
                      <m:sSubPr>
                        <m:ctrlPr>
                          <a:rPr lang="es-PE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𝑑</m:t>
                        </m:r>
                      </m:e>
                      <m:sub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4" name="23 CuadroTexto"/>
            <xdr:cNvSpPr txBox="1"/>
          </xdr:nvSpPr>
          <xdr:spPr>
            <a:xfrm>
              <a:off x="409575" y="18230850"/>
              <a:ext cx="2514599" cy="6372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s-PE" sz="1100" b="0" i="0">
                  <a:latin typeface="Cambria Math"/>
                </a:rPr>
                <a:t>𝑙_𝑑=(𝑓𝑦/(3.51</a:t>
              </a:r>
              <a:r>
                <a:rPr lang="es-PE" sz="1100" b="0" i="0">
                  <a:latin typeface="Cambria Math"/>
                  <a:ea typeface="Cambria Math"/>
                </a:rPr>
                <a:t>∙𝜆∙√(𝑓^′ 𝑐))∙(𝜓_𝑡∙𝜓_𝑒∙𝜓_𝑠)/(((𝑐_𝑏+𝑘_𝑡𝑟)/𝑑_𝑏 ) ))∙𝑑_𝑏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5</xdr:col>
      <xdr:colOff>114300</xdr:colOff>
      <xdr:row>114</xdr:row>
      <xdr:rowOff>142875</xdr:rowOff>
    </xdr:from>
    <xdr:ext cx="1066800" cy="44223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24 CuadroTexto"/>
            <xdr:cNvSpPr txBox="1"/>
          </xdr:nvSpPr>
          <xdr:spPr>
            <a:xfrm>
              <a:off x="3238500" y="18326100"/>
              <a:ext cx="1066800" cy="4422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PE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P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P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𝑐</m:t>
                            </m:r>
                          </m:e>
                          <m:sub>
                            <m:r>
                              <a:rPr lang="es-P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𝑏</m:t>
                            </m:r>
                          </m:sub>
                        </m:sSub>
                        <m:r>
                          <a:rPr lang="es-P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s-P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P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𝑘</m:t>
                            </m:r>
                          </m:e>
                          <m:sub>
                            <m:r>
                              <a:rPr lang="es-P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𝑡𝑟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s-P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P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𝑑</m:t>
                            </m:r>
                          </m:e>
                          <m:sub>
                            <m:r>
                              <a:rPr lang="es-P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𝑏</m:t>
                            </m:r>
                          </m:sub>
                        </m:sSub>
                      </m:den>
                    </m:f>
                    <m:r>
                      <a:rPr lang="es-PE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Cambria Math"/>
                        <a:cs typeface="+mn-cs"/>
                      </a:rPr>
                      <m:t>≤2.5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5" name="24 CuadroTexto"/>
            <xdr:cNvSpPr txBox="1"/>
          </xdr:nvSpPr>
          <xdr:spPr>
            <a:xfrm>
              <a:off x="3238500" y="18326100"/>
              <a:ext cx="1066800" cy="4422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s-PE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(𝑐_𝑏+𝑘_𝑡𝑟)/𝑑_𝑏 </a:t>
              </a:r>
              <a:r>
                <a:rPr lang="es-PE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≤2.5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8</xdr:col>
      <xdr:colOff>47625</xdr:colOff>
      <xdr:row>114</xdr:row>
      <xdr:rowOff>133350</xdr:rowOff>
    </xdr:from>
    <xdr:ext cx="1314450" cy="40921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25 CuadroTexto"/>
            <xdr:cNvSpPr txBox="1"/>
          </xdr:nvSpPr>
          <xdr:spPr>
            <a:xfrm>
              <a:off x="4200525" y="18316575"/>
              <a:ext cx="1314450" cy="4092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b="0" i="1">
                            <a:latin typeface="Cambria Math"/>
                          </a:rPr>
                          <m:t>𝑘</m:t>
                        </m:r>
                      </m:e>
                      <m:sub>
                        <m:r>
                          <a:rPr lang="es-PE" sz="1100" b="0" i="1">
                            <a:latin typeface="Cambria Math"/>
                          </a:rPr>
                          <m:t>𝑡𝑟</m:t>
                        </m:r>
                      </m:sub>
                    </m:sSub>
                    <m:r>
                      <a:rPr lang="es-PE" sz="11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es-PE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PE" sz="1100" b="0" i="1">
                            <a:latin typeface="Cambria Math"/>
                          </a:rPr>
                          <m:t>40</m:t>
                        </m:r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∙</m:t>
                        </m:r>
                        <m:sSub>
                          <m:sSubPr>
                            <m:ctrlPr>
                              <a:rPr lang="es-PE" sz="11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a:rPr lang="es-PE" sz="1100" b="0" i="1">
                                <a:latin typeface="Cambria Math"/>
                                <a:ea typeface="Cambria Math"/>
                              </a:rPr>
                              <m:t>𝐴</m:t>
                            </m:r>
                          </m:e>
                          <m:sub>
                            <m:r>
                              <a:rPr lang="es-PE" sz="1100" b="0" i="1">
                                <a:latin typeface="Cambria Math"/>
                                <a:ea typeface="Cambria Math"/>
                              </a:rPr>
                              <m:t>𝑡𝑟</m:t>
                            </m:r>
                          </m:sub>
                        </m:sSub>
                      </m:num>
                      <m:den>
                        <m:r>
                          <a:rPr lang="es-PE" sz="1100" b="0" i="1">
                            <a:latin typeface="Cambria Math"/>
                          </a:rPr>
                          <m:t>𝑠𝑛</m:t>
                        </m:r>
                      </m:den>
                    </m:f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6" name="25 CuadroTexto"/>
            <xdr:cNvSpPr txBox="1"/>
          </xdr:nvSpPr>
          <xdr:spPr>
            <a:xfrm>
              <a:off x="4200525" y="18316575"/>
              <a:ext cx="1314450" cy="4092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s-PE" sz="1100" b="0" i="0">
                  <a:latin typeface="Cambria Math"/>
                </a:rPr>
                <a:t>𝑘_𝑡𝑟=(40</a:t>
              </a:r>
              <a:r>
                <a:rPr lang="es-PE" sz="1100" b="0" i="0">
                  <a:latin typeface="Cambria Math"/>
                  <a:ea typeface="Cambria Math"/>
                </a:rPr>
                <a:t>∙𝐴_𝑡𝑟)/</a:t>
              </a:r>
              <a:r>
                <a:rPr lang="es-PE" sz="1100" b="0" i="0">
                  <a:latin typeface="Cambria Math"/>
                </a:rPr>
                <a:t>𝑠𝑛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15</xdr:col>
      <xdr:colOff>304799</xdr:colOff>
      <xdr:row>116</xdr:row>
      <xdr:rowOff>76200</xdr:rowOff>
    </xdr:from>
    <xdr:ext cx="1962151" cy="45089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26 CuadroTexto"/>
            <xdr:cNvSpPr txBox="1"/>
          </xdr:nvSpPr>
          <xdr:spPr>
            <a:xfrm>
              <a:off x="8753474" y="18583275"/>
              <a:ext cx="1962151" cy="4508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b="0" i="1">
                            <a:latin typeface="Cambria Math"/>
                          </a:rPr>
                          <m:t>𝑐</m:t>
                        </m:r>
                      </m:e>
                      <m:sub>
                        <m:r>
                          <a:rPr lang="es-PE" sz="1100" b="0" i="1">
                            <a:latin typeface="Cambria Math"/>
                          </a:rPr>
                          <m:t>𝑏</m:t>
                        </m:r>
                      </m:sub>
                    </m:sSub>
                    <m:r>
                      <a:rPr lang="es-PE" sz="11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es-PE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P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s-P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−2∙</m:t>
                        </m:r>
                        <m:d>
                          <m:dPr>
                            <m:ctrlPr>
                              <a:rPr lang="es-P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s-P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𝑟</m:t>
                            </m:r>
                            <m:r>
                              <a:rPr lang="es-P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es-P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P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𝑑</m:t>
                                </m:r>
                              </m:e>
                              <m:sub>
                                <m:r>
                                  <a:rPr lang="es-P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𝑏</m:t>
                                </m:r>
                              </m:sub>
                            </m:sSub>
                          </m:e>
                        </m:d>
                      </m:num>
                      <m:den>
                        <m:r>
                          <a:rPr lang="es-PE" sz="1100" b="0" i="1">
                            <a:latin typeface="Cambria Math"/>
                          </a:rPr>
                          <m:t>2</m:t>
                        </m:r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∙</m:t>
                        </m:r>
                        <m:d>
                          <m:dPr>
                            <m:ctrlPr>
                              <a:rPr lang="es-PE" sz="11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dPr>
                          <m:e>
                            <m:r>
                              <a:rPr lang="es-P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𝑛</m:t>
                            </m:r>
                            <m:r>
                              <a:rPr lang="es-P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−1</m:t>
                            </m:r>
                          </m:e>
                        </m:d>
                      </m:den>
                    </m:f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7" name="26 CuadroTexto"/>
            <xdr:cNvSpPr txBox="1"/>
          </xdr:nvSpPr>
          <xdr:spPr>
            <a:xfrm>
              <a:off x="8753474" y="18583275"/>
              <a:ext cx="1962151" cy="4508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s-PE" sz="1100" b="0" i="0">
                  <a:latin typeface="Cambria Math"/>
                </a:rPr>
                <a:t>𝑐_𝑏=(</a:t>
              </a:r>
              <a:r>
                <a:rPr lang="es-PE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𝑆−2∙(𝑟+𝑑_𝑏 )</a:t>
              </a:r>
              <a:r>
                <a:rPr lang="es-P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)/(</a:t>
              </a:r>
              <a:r>
                <a:rPr lang="es-PE" sz="1100" b="0" i="0">
                  <a:latin typeface="Cambria Math"/>
                </a:rPr>
                <a:t>2</a:t>
              </a:r>
              <a:r>
                <a:rPr lang="es-PE" sz="1100" b="0" i="0">
                  <a:latin typeface="Cambria Math"/>
                  <a:ea typeface="Cambria Math"/>
                </a:rPr>
                <a:t>∙(</a:t>
              </a:r>
              <a:r>
                <a:rPr lang="es-PE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𝑛−1</a:t>
              </a:r>
              <a:r>
                <a:rPr lang="es-PE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) 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19</xdr:col>
      <xdr:colOff>76200</xdr:colOff>
      <xdr:row>116</xdr:row>
      <xdr:rowOff>47625</xdr:rowOff>
    </xdr:from>
    <xdr:ext cx="914400" cy="4126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27 CuadroTexto"/>
            <xdr:cNvSpPr txBox="1"/>
          </xdr:nvSpPr>
          <xdr:spPr>
            <a:xfrm>
              <a:off x="10810875" y="18497550"/>
              <a:ext cx="914400" cy="412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b="0" i="1">
                            <a:latin typeface="Cambria Math"/>
                          </a:rPr>
                          <m:t>𝑐</m:t>
                        </m:r>
                      </m:e>
                      <m:sub>
                        <m:r>
                          <a:rPr lang="es-PE" sz="1100" b="0" i="1">
                            <a:latin typeface="Cambria Math"/>
                          </a:rPr>
                          <m:t>𝑏</m:t>
                        </m:r>
                      </m:sub>
                    </m:sSub>
                    <m:r>
                      <a:rPr lang="es-PE" sz="1100" b="0" i="1">
                        <a:latin typeface="Cambria Math"/>
                      </a:rPr>
                      <m:t>=</m:t>
                    </m:r>
                    <m:r>
                      <a:rPr lang="es-PE" sz="1100" b="0" i="1">
                        <a:latin typeface="Cambria Math"/>
                      </a:rPr>
                      <m:t>𝑟</m:t>
                    </m:r>
                    <m:r>
                      <a:rPr lang="es-PE" sz="1100" b="0" i="1">
                        <a:latin typeface="Cambria Math"/>
                      </a:rPr>
                      <m:t>+</m:t>
                    </m:r>
                    <m:f>
                      <m:fPr>
                        <m:ctrlPr>
                          <a:rPr lang="es-PE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PE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PE" sz="1100" b="0" i="1">
                                <a:latin typeface="Cambria Math"/>
                              </a:rPr>
                              <m:t>𝑑</m:t>
                            </m:r>
                          </m:e>
                          <m:sub>
                            <m:r>
                              <a:rPr lang="es-PE" sz="1100" b="0" i="1">
                                <a:latin typeface="Cambria Math"/>
                              </a:rPr>
                              <m:t>𝑏</m:t>
                            </m:r>
                          </m:sub>
                        </m:sSub>
                      </m:num>
                      <m:den>
                        <m:r>
                          <a:rPr lang="es-PE" sz="1100" b="0" i="1">
                            <a:latin typeface="Cambria Math"/>
                          </a:rPr>
                          <m:t>2</m:t>
                        </m:r>
                      </m:den>
                    </m:f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8" name="27 CuadroTexto"/>
            <xdr:cNvSpPr txBox="1"/>
          </xdr:nvSpPr>
          <xdr:spPr>
            <a:xfrm>
              <a:off x="10810875" y="18497550"/>
              <a:ext cx="914400" cy="412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es-PE" sz="1100" b="0" i="0">
                  <a:latin typeface="Cambria Math"/>
                </a:rPr>
                <a:t>𝑐_𝑏=𝑟+𝑑_𝑏/2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5</xdr:col>
      <xdr:colOff>9525</xdr:colOff>
      <xdr:row>119</xdr:row>
      <xdr:rowOff>19050</xdr:rowOff>
    </xdr:from>
    <xdr:ext cx="828675" cy="44223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35 CuadroTexto"/>
            <xdr:cNvSpPr txBox="1"/>
          </xdr:nvSpPr>
          <xdr:spPr>
            <a:xfrm>
              <a:off x="3133725" y="19011900"/>
              <a:ext cx="828675" cy="4422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PE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P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P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𝑐</m:t>
                            </m:r>
                          </m:e>
                          <m:sub>
                            <m:r>
                              <a:rPr lang="es-P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𝑏</m:t>
                            </m:r>
                          </m:sub>
                        </m:sSub>
                        <m:r>
                          <a:rPr lang="es-P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s-P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P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𝑘</m:t>
                            </m:r>
                          </m:e>
                          <m:sub>
                            <m:r>
                              <a:rPr lang="es-P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𝑡𝑟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s-P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P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𝑑</m:t>
                            </m:r>
                          </m:e>
                          <m:sub>
                            <m:r>
                              <a:rPr lang="es-P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𝑏</m:t>
                            </m:r>
                          </m:sub>
                        </m:sSub>
                      </m:den>
                    </m:f>
                    <m:r>
                      <a:rPr lang="es-PE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Cambria Math"/>
                        <a:cs typeface="+mn-cs"/>
                      </a:rPr>
                      <m:t>≤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6" name="35 CuadroTexto"/>
            <xdr:cNvSpPr txBox="1"/>
          </xdr:nvSpPr>
          <xdr:spPr>
            <a:xfrm>
              <a:off x="3133725" y="19011900"/>
              <a:ext cx="828675" cy="4422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s-PE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(𝑐_𝑏+𝑘_𝑡𝑟)/𝑑_𝑏 </a:t>
              </a:r>
              <a:r>
                <a:rPr lang="es-PE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≤</a:t>
              </a:r>
              <a:endParaRPr lang="es-PE" sz="1100"/>
            </a:p>
          </xdr:txBody>
        </xdr:sp>
      </mc:Fallback>
    </mc:AlternateContent>
    <xdr:clientData/>
  </xdr:oneCellAnchor>
  <xdr:twoCellAnchor>
    <xdr:from>
      <xdr:col>8</xdr:col>
      <xdr:colOff>47625</xdr:colOff>
      <xdr:row>120</xdr:row>
      <xdr:rowOff>85725</xdr:rowOff>
    </xdr:from>
    <xdr:to>
      <xdr:col>8</xdr:col>
      <xdr:colOff>215503</xdr:colOff>
      <xdr:row>120</xdr:row>
      <xdr:rowOff>85725</xdr:rowOff>
    </xdr:to>
    <xdr:cxnSp macro="">
      <xdr:nvCxnSpPr>
        <xdr:cNvPr id="39" name="38 Conector recto de flecha"/>
        <xdr:cNvCxnSpPr/>
      </xdr:nvCxnSpPr>
      <xdr:spPr>
        <a:xfrm>
          <a:off x="4200525" y="19240500"/>
          <a:ext cx="167878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17</xdr:col>
      <xdr:colOff>761999</xdr:colOff>
      <xdr:row>122</xdr:row>
      <xdr:rowOff>0</xdr:rowOff>
    </xdr:from>
    <xdr:ext cx="1238251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40 CuadroTexto"/>
            <xdr:cNvSpPr txBox="1"/>
          </xdr:nvSpPr>
          <xdr:spPr>
            <a:xfrm>
              <a:off x="10734674" y="19478625"/>
              <a:ext cx="1238251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b="0" i="1">
                            <a:latin typeface="Cambria Math"/>
                          </a:rPr>
                          <m:t>𝑐</m:t>
                        </m:r>
                      </m:e>
                      <m:sub>
                        <m:r>
                          <a:rPr lang="es-PE" sz="1100" b="0" i="1">
                            <a:latin typeface="Cambria Math"/>
                          </a:rPr>
                          <m:t>𝑏</m:t>
                        </m:r>
                      </m:sub>
                    </m:sSub>
                    <m:r>
                      <a:rPr lang="es-PE" sz="1100" b="0" i="1">
                        <a:latin typeface="Cambria Math"/>
                      </a:rPr>
                      <m:t>=</m:t>
                    </m:r>
                    <m:r>
                      <a:rPr lang="es-PE" sz="1100" b="0" i="1">
                        <a:latin typeface="Cambria Math"/>
                      </a:rPr>
                      <m:t>𝑟</m:t>
                    </m:r>
                    <m:r>
                      <a:rPr lang="es-PE" sz="11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es-PE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b="0" i="1">
                            <a:latin typeface="Cambria Math"/>
                          </a:rPr>
                          <m:t>1.5</m:t>
                        </m:r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∙</m:t>
                        </m:r>
                        <m:r>
                          <a:rPr lang="es-PE" sz="1100" b="0" i="1">
                            <a:latin typeface="Cambria Math"/>
                          </a:rPr>
                          <m:t>𝑑</m:t>
                        </m:r>
                      </m:e>
                      <m:sub>
                        <m:r>
                          <a:rPr lang="es-PE" sz="1100" b="0" i="1">
                            <a:latin typeface="Cambria Math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1" name="40 CuadroTexto"/>
            <xdr:cNvSpPr txBox="1"/>
          </xdr:nvSpPr>
          <xdr:spPr>
            <a:xfrm>
              <a:off x="10734674" y="19478625"/>
              <a:ext cx="1238251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s-PE" sz="1100" b="0" i="0">
                  <a:latin typeface="Cambria Math"/>
                </a:rPr>
                <a:t>𝑐_𝑏=𝑟+〖1.5</a:t>
              </a:r>
              <a:r>
                <a:rPr lang="es-PE" sz="1100" b="0" i="0">
                  <a:latin typeface="Cambria Math"/>
                  <a:ea typeface="Cambria Math"/>
                </a:rPr>
                <a:t>∙</a:t>
              </a:r>
              <a:r>
                <a:rPr lang="es-PE" sz="1100" b="0" i="0">
                  <a:latin typeface="Cambria Math"/>
                </a:rPr>
                <a:t>𝑑〗_𝑏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15</xdr:col>
      <xdr:colOff>685800</xdr:colOff>
      <xdr:row>131</xdr:row>
      <xdr:rowOff>142875</xdr:rowOff>
    </xdr:from>
    <xdr:ext cx="1962151" cy="45089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42 CuadroTexto"/>
            <xdr:cNvSpPr txBox="1"/>
          </xdr:nvSpPr>
          <xdr:spPr>
            <a:xfrm>
              <a:off x="9134475" y="21078825"/>
              <a:ext cx="1962151" cy="4508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b="0" i="1">
                            <a:latin typeface="Cambria Math"/>
                          </a:rPr>
                          <m:t>𝑐</m:t>
                        </m:r>
                      </m:e>
                      <m:sub>
                        <m:r>
                          <a:rPr lang="es-PE" sz="1100" b="0" i="1">
                            <a:latin typeface="Cambria Math"/>
                          </a:rPr>
                          <m:t>𝑏</m:t>
                        </m:r>
                      </m:sub>
                    </m:sSub>
                    <m:r>
                      <a:rPr lang="es-PE" sz="11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es-PE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P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s-P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−2∙</m:t>
                        </m:r>
                        <m:d>
                          <m:dPr>
                            <m:ctrlPr>
                              <a:rPr lang="es-P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s-P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𝑟</m:t>
                            </m:r>
                            <m:r>
                              <a:rPr lang="es-P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es-P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P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𝑑</m:t>
                                </m:r>
                              </m:e>
                              <m:sub>
                                <m:r>
                                  <a:rPr lang="es-P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𝑏</m:t>
                                </m:r>
                              </m:sub>
                            </m:sSub>
                          </m:e>
                        </m:d>
                      </m:num>
                      <m:den>
                        <m:r>
                          <a:rPr lang="es-PE" sz="1100" b="0" i="1">
                            <a:latin typeface="Cambria Math"/>
                          </a:rPr>
                          <m:t>2</m:t>
                        </m:r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∙</m:t>
                        </m:r>
                        <m:d>
                          <m:dPr>
                            <m:ctrlPr>
                              <a:rPr lang="es-PE" sz="11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dPr>
                          <m:e>
                            <m:r>
                              <a:rPr lang="es-P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𝑛</m:t>
                            </m:r>
                            <m:r>
                              <a:rPr lang="es-P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−1</m:t>
                            </m:r>
                          </m:e>
                        </m:d>
                      </m:den>
                    </m:f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3" name="42 CuadroTexto"/>
            <xdr:cNvSpPr txBox="1"/>
          </xdr:nvSpPr>
          <xdr:spPr>
            <a:xfrm>
              <a:off x="9134475" y="21078825"/>
              <a:ext cx="1962151" cy="4508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s-PE" sz="1100" b="0" i="0">
                  <a:latin typeface="Cambria Math"/>
                </a:rPr>
                <a:t>𝑐_𝑏=(</a:t>
              </a:r>
              <a:r>
                <a:rPr lang="es-PE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𝑆−2∙(𝑟+𝑑_𝑏 )</a:t>
              </a:r>
              <a:r>
                <a:rPr lang="es-P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)/(</a:t>
              </a:r>
              <a:r>
                <a:rPr lang="es-PE" sz="1100" b="0" i="0">
                  <a:latin typeface="Cambria Math"/>
                </a:rPr>
                <a:t>2</a:t>
              </a:r>
              <a:r>
                <a:rPr lang="es-PE" sz="1100" b="0" i="0">
                  <a:latin typeface="Cambria Math"/>
                  <a:ea typeface="Cambria Math"/>
                </a:rPr>
                <a:t>∙(</a:t>
              </a:r>
              <a:r>
                <a:rPr lang="es-PE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𝑛−1</a:t>
              </a:r>
              <a:r>
                <a:rPr lang="es-PE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) 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19</xdr:col>
      <xdr:colOff>342900</xdr:colOff>
      <xdr:row>131</xdr:row>
      <xdr:rowOff>57150</xdr:rowOff>
    </xdr:from>
    <xdr:ext cx="914400" cy="4126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" name="43 CuadroTexto"/>
            <xdr:cNvSpPr txBox="1"/>
          </xdr:nvSpPr>
          <xdr:spPr>
            <a:xfrm>
              <a:off x="11077575" y="20935950"/>
              <a:ext cx="914400" cy="412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b="0" i="1">
                            <a:latin typeface="Cambria Math"/>
                          </a:rPr>
                          <m:t>𝑐</m:t>
                        </m:r>
                      </m:e>
                      <m:sub>
                        <m:r>
                          <a:rPr lang="es-PE" sz="1100" b="0" i="1">
                            <a:latin typeface="Cambria Math"/>
                          </a:rPr>
                          <m:t>𝑏</m:t>
                        </m:r>
                      </m:sub>
                    </m:sSub>
                    <m:r>
                      <a:rPr lang="es-PE" sz="1100" b="0" i="1">
                        <a:latin typeface="Cambria Math"/>
                      </a:rPr>
                      <m:t>=</m:t>
                    </m:r>
                    <m:r>
                      <a:rPr lang="es-PE" sz="1100" b="0" i="1">
                        <a:latin typeface="Cambria Math"/>
                      </a:rPr>
                      <m:t>𝑟</m:t>
                    </m:r>
                    <m:r>
                      <a:rPr lang="es-PE" sz="1100" b="0" i="1">
                        <a:latin typeface="Cambria Math"/>
                      </a:rPr>
                      <m:t>+</m:t>
                    </m:r>
                    <m:f>
                      <m:fPr>
                        <m:ctrlPr>
                          <a:rPr lang="es-PE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PE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PE" sz="1100" b="0" i="1">
                                <a:latin typeface="Cambria Math"/>
                              </a:rPr>
                              <m:t>𝑑</m:t>
                            </m:r>
                          </m:e>
                          <m:sub>
                            <m:r>
                              <a:rPr lang="es-PE" sz="1100" b="0" i="1">
                                <a:latin typeface="Cambria Math"/>
                              </a:rPr>
                              <m:t>𝑏</m:t>
                            </m:r>
                          </m:sub>
                        </m:sSub>
                      </m:num>
                      <m:den>
                        <m:r>
                          <a:rPr lang="es-PE" sz="1100" b="0" i="1">
                            <a:latin typeface="Cambria Math"/>
                          </a:rPr>
                          <m:t>2</m:t>
                        </m:r>
                      </m:den>
                    </m:f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4" name="43 CuadroTexto"/>
            <xdr:cNvSpPr txBox="1"/>
          </xdr:nvSpPr>
          <xdr:spPr>
            <a:xfrm>
              <a:off x="11077575" y="20935950"/>
              <a:ext cx="914400" cy="412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es-PE" sz="1100" b="0" i="0">
                  <a:latin typeface="Cambria Math"/>
                </a:rPr>
                <a:t>𝑐_𝑏=𝑟+𝑑_𝑏/2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4</xdr:col>
      <xdr:colOff>609600</xdr:colOff>
      <xdr:row>128</xdr:row>
      <xdr:rowOff>123825</xdr:rowOff>
    </xdr:from>
    <xdr:ext cx="723900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28 CuadroTexto"/>
            <xdr:cNvSpPr txBox="1"/>
          </xdr:nvSpPr>
          <xdr:spPr>
            <a:xfrm>
              <a:off x="2962275" y="20412075"/>
              <a:ext cx="7239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b="0" i="1">
                            <a:latin typeface="Cambria Math"/>
                          </a:rPr>
                          <m:t>𝐿</m:t>
                        </m:r>
                      </m:e>
                      <m:sub>
                        <m:r>
                          <a:rPr lang="es-PE" sz="1100" b="0" i="1">
                            <a:latin typeface="Cambria Math"/>
                          </a:rPr>
                          <m:t>𝑉</m:t>
                        </m:r>
                      </m:sub>
                    </m:sSub>
                    <m:r>
                      <a:rPr lang="es-PE" sz="1100" b="0" i="1">
                        <a:latin typeface="Cambria Math"/>
                      </a:rPr>
                      <m:t>−</m:t>
                    </m:r>
                    <m:r>
                      <a:rPr lang="es-PE" sz="1100" b="0" i="1">
                        <a:latin typeface="Cambria Math"/>
                      </a:rPr>
                      <m:t>𝑟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9" name="28 CuadroTexto"/>
            <xdr:cNvSpPr txBox="1"/>
          </xdr:nvSpPr>
          <xdr:spPr>
            <a:xfrm>
              <a:off x="2962275" y="20412075"/>
              <a:ext cx="7239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s-PE" sz="1100" b="0" i="0">
                  <a:latin typeface="Cambria Math"/>
                </a:rPr>
                <a:t>𝐿_𝑉−𝑟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161925</xdr:colOff>
      <xdr:row>128</xdr:row>
      <xdr:rowOff>66675</xdr:rowOff>
    </xdr:from>
    <xdr:ext cx="2324100" cy="4238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29 CuadroTexto"/>
            <xdr:cNvSpPr txBox="1"/>
          </xdr:nvSpPr>
          <xdr:spPr>
            <a:xfrm>
              <a:off x="3743325" y="20354925"/>
              <a:ext cx="2324100" cy="423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b="0" i="1">
                            <a:latin typeface="Cambria Math"/>
                          </a:rPr>
                          <m:t>𝐿</m:t>
                        </m:r>
                      </m:e>
                      <m:sub>
                        <m:r>
                          <a:rPr lang="es-PE" sz="1100" b="0" i="1">
                            <a:latin typeface="Cambria Math"/>
                          </a:rPr>
                          <m:t>𝑉</m:t>
                        </m:r>
                        <m:r>
                          <a:rPr lang="es-PE" sz="11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es-PE" sz="11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es-PE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PE" sz="1100" b="0" i="1">
                            <a:latin typeface="Cambria Math"/>
                          </a:rPr>
                          <m:t>𝑇</m:t>
                        </m:r>
                        <m:r>
                          <a:rPr lang="es-PE" sz="11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es-PE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PE" sz="1100" b="0" i="1">
                                <a:latin typeface="Cambria Math"/>
                              </a:rPr>
                              <m:t>𝑡</m:t>
                            </m:r>
                          </m:e>
                          <m:sub>
                            <m:r>
                              <a:rPr lang="es-PE" sz="11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</m:num>
                      <m:den>
                        <m:r>
                          <a:rPr lang="es-PE" sz="1100" b="0" i="1">
                            <a:latin typeface="Cambria Math"/>
                          </a:rPr>
                          <m:t>2</m:t>
                        </m:r>
                      </m:den>
                    </m:f>
                    <m:r>
                      <a:rPr lang="es-PE" sz="1100" b="0" i="1">
                        <a:latin typeface="Cambria Math"/>
                      </a:rPr>
                      <m:t>    </m:t>
                    </m:r>
                    <m:r>
                      <m:rPr>
                        <m:sty m:val="p"/>
                      </m:rPr>
                      <a:rPr lang="el-GR" sz="1100" b="0" i="1">
                        <a:latin typeface="Cambria Math"/>
                        <a:ea typeface="Cambria Math"/>
                      </a:rPr>
                      <m:t>Λ</m:t>
                    </m:r>
                    <m:r>
                      <a:rPr lang="es-PE" sz="1100" b="0" i="1">
                        <a:latin typeface="Cambria Math"/>
                      </a:rPr>
                      <m:t>   </m:t>
                    </m:r>
                    <m:sSub>
                      <m:sSubPr>
                        <m:ctrlPr>
                          <a:rPr lang="es-PE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b="0" i="1">
                            <a:latin typeface="Cambria Math"/>
                          </a:rPr>
                          <m:t>𝐿</m:t>
                        </m:r>
                      </m:e>
                      <m:sub>
                        <m:r>
                          <a:rPr lang="es-PE" sz="1100" b="0" i="1">
                            <a:latin typeface="Cambria Math"/>
                          </a:rPr>
                          <m:t>𝑉</m:t>
                        </m:r>
                        <m:r>
                          <a:rPr lang="es-PE" sz="11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es-PE" sz="11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es-PE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PE" sz="1100" b="0" i="1">
                            <a:latin typeface="Cambria Math"/>
                          </a:rPr>
                          <m:t>𝑆</m:t>
                        </m:r>
                        <m:r>
                          <a:rPr lang="es-PE" sz="11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es-PE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PE" sz="1100" b="0" i="1">
                                <a:latin typeface="Cambria Math"/>
                              </a:rPr>
                              <m:t>𝑡</m:t>
                            </m:r>
                          </m:e>
                          <m:sub>
                            <m:r>
                              <a:rPr lang="es-PE" sz="11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</m:num>
                      <m:den>
                        <m:r>
                          <a:rPr lang="es-PE" sz="1100" b="0" i="1">
                            <a:latin typeface="Cambria Math"/>
                          </a:rPr>
                          <m:t>2</m:t>
                        </m:r>
                      </m:den>
                    </m:f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0" name="29 CuadroTexto"/>
            <xdr:cNvSpPr txBox="1"/>
          </xdr:nvSpPr>
          <xdr:spPr>
            <a:xfrm>
              <a:off x="3743325" y="20354925"/>
              <a:ext cx="2324100" cy="423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s-PE" sz="1100" b="0" i="0">
                  <a:latin typeface="Cambria Math"/>
                </a:rPr>
                <a:t>𝐿_𝑉1=(𝑇−𝑡_1)/2     </a:t>
              </a:r>
              <a:r>
                <a:rPr lang="el-GR" sz="1100" b="0" i="0">
                  <a:latin typeface="Cambria Math"/>
                  <a:ea typeface="Cambria Math"/>
                </a:rPr>
                <a:t>Λ</a:t>
              </a:r>
              <a:r>
                <a:rPr lang="es-PE" sz="1100" b="0" i="0">
                  <a:latin typeface="Cambria Math"/>
                </a:rPr>
                <a:t>   𝐿_𝑉2=(𝑆−𝑡_2)/2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</xdr:col>
      <xdr:colOff>533400</xdr:colOff>
      <xdr:row>102</xdr:row>
      <xdr:rowOff>114300</xdr:rowOff>
    </xdr:from>
    <xdr:ext cx="1866900" cy="4960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31 CuadroTexto"/>
            <xdr:cNvSpPr txBox="1"/>
          </xdr:nvSpPr>
          <xdr:spPr>
            <a:xfrm>
              <a:off x="923925" y="16297275"/>
              <a:ext cx="1866900" cy="4960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b="0" i="1">
                            <a:latin typeface="Cambria Math"/>
                          </a:rPr>
                          <m:t>𝑙</m:t>
                        </m:r>
                      </m:e>
                      <m:sub>
                        <m:r>
                          <a:rPr lang="es-PE" sz="1100" b="0" i="1">
                            <a:latin typeface="Cambria Math"/>
                          </a:rPr>
                          <m:t>𝑑𝑐</m:t>
                        </m:r>
                      </m:sub>
                    </m:sSub>
                    <m:r>
                      <a:rPr lang="es-PE" sz="1100" b="0" i="1">
                        <a:latin typeface="Cambria Math"/>
                      </a:rPr>
                      <m:t>=0.075</m:t>
                    </m:r>
                    <m:r>
                      <a:rPr lang="es-PE" sz="1100" b="0" i="1">
                        <a:latin typeface="Cambria Math"/>
                        <a:ea typeface="Cambria Math"/>
                      </a:rPr>
                      <m:t>∙</m:t>
                    </m:r>
                    <m:f>
                      <m:fPr>
                        <m:ctrlPr>
                          <a:rPr lang="es-PE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PE" sz="11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a:rPr lang="es-PE" sz="1100" b="0" i="1">
                                <a:latin typeface="Cambria Math"/>
                                <a:ea typeface="Cambria Math"/>
                              </a:rPr>
                              <m:t>𝑓</m:t>
                            </m:r>
                          </m:e>
                          <m:sub>
                            <m:r>
                              <a:rPr lang="es-PE" sz="1100" b="0" i="1">
                                <a:latin typeface="Cambria Math"/>
                                <a:ea typeface="Cambria Math"/>
                              </a:rPr>
                              <m:t>𝑦</m:t>
                            </m:r>
                          </m:sub>
                        </m:sSub>
                      </m:num>
                      <m:den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𝜆</m:t>
                        </m:r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∙</m:t>
                        </m:r>
                        <m:rad>
                          <m:radPr>
                            <m:degHide m:val="on"/>
                            <m:ctrlPr>
                              <a:rPr lang="es-PE" sz="11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radPr>
                          <m:deg/>
                          <m:e>
                            <m:sSubSup>
                              <m:sSubSupPr>
                                <m:ctrlPr>
                                  <a:rPr lang="es-PE" sz="1100" b="0" i="1">
                                    <a:latin typeface="Cambria Math" panose="02040503050406030204" pitchFamily="18" charset="0"/>
                                    <a:ea typeface="Cambria Math"/>
                                  </a:rPr>
                                </m:ctrlPr>
                              </m:sSubSupPr>
                              <m:e>
                                <m:r>
                                  <a:rPr lang="es-PE" sz="1100" b="0" i="1">
                                    <a:latin typeface="Cambria Math"/>
                                    <a:ea typeface="Cambria Math"/>
                                  </a:rPr>
                                  <m:t>𝑓</m:t>
                                </m:r>
                              </m:e>
                              <m:sub>
                                <m:r>
                                  <a:rPr lang="es-PE" sz="1100" b="0" i="1">
                                    <a:latin typeface="Cambria Math"/>
                                    <a:ea typeface="Cambria Math"/>
                                  </a:rPr>
                                  <m:t>𝑐</m:t>
                                </m:r>
                              </m:sub>
                              <m:sup>
                                <m:r>
                                  <a:rPr lang="es-PE" sz="1100" b="0" i="1">
                                    <a:latin typeface="Cambria Math"/>
                                    <a:ea typeface="Cambria Math"/>
                                  </a:rPr>
                                  <m:t>′</m:t>
                                </m:r>
                              </m:sup>
                            </m:sSubSup>
                          </m:e>
                        </m:rad>
                      </m:den>
                    </m:f>
                    <m:r>
                      <a:rPr lang="es-PE" sz="1100" b="0" i="1">
                        <a:latin typeface="Cambria Math"/>
                        <a:ea typeface="Cambria Math"/>
                      </a:rPr>
                      <m:t>∙</m:t>
                    </m:r>
                    <m:sSub>
                      <m:sSubPr>
                        <m:ctrlPr>
                          <a:rPr lang="es-PE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𝑑</m:t>
                        </m:r>
                      </m:e>
                      <m:sub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2" name="31 CuadroTexto"/>
            <xdr:cNvSpPr txBox="1"/>
          </xdr:nvSpPr>
          <xdr:spPr>
            <a:xfrm>
              <a:off x="923925" y="16297275"/>
              <a:ext cx="1866900" cy="4960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s-PE" sz="1100" b="0" i="0">
                  <a:latin typeface="Cambria Math"/>
                </a:rPr>
                <a:t>𝑙_𝑑𝑐=0.075</a:t>
              </a:r>
              <a:r>
                <a:rPr lang="es-PE" sz="1100" b="0" i="0">
                  <a:latin typeface="Cambria Math"/>
                  <a:ea typeface="Cambria Math"/>
                </a:rPr>
                <a:t>∙𝑓_𝑦/(𝜆∙√(𝑓_𝑐^′ ))∙𝑑_𝑏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4</xdr:col>
      <xdr:colOff>609599</xdr:colOff>
      <xdr:row>103</xdr:row>
      <xdr:rowOff>57150</xdr:rowOff>
    </xdr:from>
    <xdr:ext cx="1524001" cy="27526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33 CuadroTexto"/>
            <xdr:cNvSpPr txBox="1"/>
          </xdr:nvSpPr>
          <xdr:spPr>
            <a:xfrm>
              <a:off x="2924174" y="16402050"/>
              <a:ext cx="1524001" cy="2752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b="0" i="1">
                            <a:latin typeface="Cambria Math"/>
                          </a:rPr>
                          <m:t>𝑙</m:t>
                        </m:r>
                      </m:e>
                      <m:sub>
                        <m:r>
                          <a:rPr lang="es-PE" sz="1100" b="0" i="1">
                            <a:latin typeface="Cambria Math"/>
                          </a:rPr>
                          <m:t>𝑑𝑐</m:t>
                        </m:r>
                      </m:sub>
                    </m:sSub>
                    <m:r>
                      <a:rPr lang="es-PE" sz="1100" b="0" i="1">
                        <a:latin typeface="Cambria Math"/>
                      </a:rPr>
                      <m:t>=0.0044</m:t>
                    </m:r>
                    <m:r>
                      <a:rPr lang="es-PE" sz="1100" b="0" i="1">
                        <a:latin typeface="Cambria Math"/>
                        <a:ea typeface="Cambria Math"/>
                      </a:rPr>
                      <m:t>∙</m:t>
                    </m:r>
                    <m:sSub>
                      <m:sSubPr>
                        <m:ctrlPr>
                          <a:rPr lang="es-PE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𝑓</m:t>
                        </m:r>
                      </m:e>
                      <m:sub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𝑦</m:t>
                        </m:r>
                      </m:sub>
                    </m:sSub>
                    <m:r>
                      <a:rPr lang="es-PE" sz="1100" b="0" i="1">
                        <a:latin typeface="Cambria Math"/>
                        <a:ea typeface="Cambria Math"/>
                      </a:rPr>
                      <m:t>∙</m:t>
                    </m:r>
                    <m:sSub>
                      <m:sSubPr>
                        <m:ctrlPr>
                          <a:rPr lang="es-PE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𝑑</m:t>
                        </m:r>
                      </m:e>
                      <m:sub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4" name="33 CuadroTexto"/>
            <xdr:cNvSpPr txBox="1"/>
          </xdr:nvSpPr>
          <xdr:spPr>
            <a:xfrm>
              <a:off x="2924174" y="16402050"/>
              <a:ext cx="1524001" cy="2752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s-PE" sz="1100" b="0" i="0">
                  <a:latin typeface="Cambria Math"/>
                </a:rPr>
                <a:t>𝑙_𝑑𝑐=0.0044</a:t>
              </a:r>
              <a:r>
                <a:rPr lang="es-PE" sz="1100" b="0" i="0">
                  <a:latin typeface="Cambria Math"/>
                  <a:ea typeface="Cambria Math"/>
                </a:rPr>
                <a:t>∙𝑓_𝑦∙𝑑_𝑏</a:t>
              </a:r>
              <a:endParaRPr lang="es-PE" sz="1100"/>
            </a:p>
          </xdr:txBody>
        </xdr:sp>
      </mc:Fallback>
    </mc:AlternateContent>
    <xdr:clientData/>
  </xdr:oneCellAnchor>
  <xdr:twoCellAnchor>
    <xdr:from>
      <xdr:col>4</xdr:col>
      <xdr:colOff>361950</xdr:colOff>
      <xdr:row>23</xdr:row>
      <xdr:rowOff>28575</xdr:rowOff>
    </xdr:from>
    <xdr:to>
      <xdr:col>4</xdr:col>
      <xdr:colOff>685800</xdr:colOff>
      <xdr:row>27</xdr:row>
      <xdr:rowOff>0</xdr:rowOff>
    </xdr:to>
    <xdr:sp macro="" textlink="">
      <xdr:nvSpPr>
        <xdr:cNvPr id="45" name="44 Flecha doblada hacia arriba"/>
        <xdr:cNvSpPr/>
      </xdr:nvSpPr>
      <xdr:spPr>
        <a:xfrm>
          <a:off x="2676525" y="3819525"/>
          <a:ext cx="323850" cy="504825"/>
        </a:xfrm>
        <a:prstGeom prst="bentUp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oneCellAnchor>
    <xdr:from>
      <xdr:col>3</xdr:col>
      <xdr:colOff>152400</xdr:colOff>
      <xdr:row>62</xdr:row>
      <xdr:rowOff>123825</xdr:rowOff>
    </xdr:from>
    <xdr:ext cx="4229100" cy="6486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" name="45 CuadroTexto"/>
            <xdr:cNvSpPr txBox="1"/>
          </xdr:nvSpPr>
          <xdr:spPr>
            <a:xfrm>
              <a:off x="1924050" y="9886950"/>
              <a:ext cx="4229100" cy="6486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 i="1">
                        <a:latin typeface="Cambria Math"/>
                        <a:ea typeface="Cambria Math"/>
                      </a:rPr>
                      <m:t>𝜌</m:t>
                    </m:r>
                    <m:r>
                      <a:rPr lang="es-PE" sz="1100" b="0" i="1">
                        <a:latin typeface="Cambria Math"/>
                        <a:ea typeface="Cambria Math"/>
                      </a:rPr>
                      <m:t>=</m:t>
                    </m:r>
                    <m:f>
                      <m:fPr>
                        <m:ctrlPr>
                          <a:rPr lang="es-PE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fPr>
                      <m:num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100∙</m:t>
                        </m:r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𝜙</m:t>
                        </m:r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∙</m:t>
                        </m:r>
                        <m:sSubSup>
                          <m:sSubSupPr>
                            <m:ctrlPr>
                              <a:rPr lang="es-PE" sz="11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bSupPr>
                          <m:e>
                            <m:r>
                              <a:rPr lang="es-PE" sz="1100" b="0" i="1">
                                <a:latin typeface="Cambria Math"/>
                                <a:ea typeface="Cambria Math"/>
                              </a:rPr>
                              <m:t>𝑓</m:t>
                            </m:r>
                          </m:e>
                          <m:sub>
                            <m:r>
                              <a:rPr lang="es-PE" sz="1100" b="0" i="1">
                                <a:latin typeface="Cambria Math"/>
                                <a:ea typeface="Cambria Math"/>
                              </a:rPr>
                              <m:t>𝑐</m:t>
                            </m:r>
                          </m:sub>
                          <m:sup>
                            <m:r>
                              <a:rPr lang="es-PE" sz="1100" b="0" i="1">
                                <a:latin typeface="Cambria Math"/>
                                <a:ea typeface="Cambria Math"/>
                              </a:rPr>
                              <m:t>′</m:t>
                            </m:r>
                          </m:sup>
                        </m:sSubSup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∙</m:t>
                        </m:r>
                        <m:sSub>
                          <m:sSubPr>
                            <m:ctrlPr>
                              <a:rPr lang="es-PE" sz="11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a:rPr lang="es-PE" sz="1100" b="0" i="1">
                                <a:latin typeface="Cambria Math"/>
                                <a:ea typeface="Cambria Math"/>
                              </a:rPr>
                              <m:t>𝑓</m:t>
                            </m:r>
                          </m:e>
                          <m:sub>
                            <m:r>
                              <a:rPr lang="es-PE" sz="1100" b="0" i="1">
                                <a:latin typeface="Cambria Math"/>
                                <a:ea typeface="Cambria Math"/>
                              </a:rPr>
                              <m:t>𝑦</m:t>
                            </m:r>
                          </m:sub>
                        </m:sSub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−</m:t>
                        </m:r>
                        <m:rad>
                          <m:radPr>
                            <m:degHide m:val="on"/>
                            <m:ctrlPr>
                              <a:rPr lang="es-PE" sz="11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radPr>
                          <m:deg/>
                          <m:e>
                            <m:sSup>
                              <m:sSupPr>
                                <m:ctrlPr>
                                  <a:rPr lang="es-PE" sz="1100" b="0" i="1">
                                    <a:latin typeface="Cambria Math" panose="02040503050406030204" pitchFamily="18" charset="0"/>
                                    <a:ea typeface="Cambria Math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ctrlPr>
                                      <a:rPr lang="es-PE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s-PE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100∙</m:t>
                                    </m:r>
                                    <m:r>
                                      <a:rPr lang="es-PE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𝜙</m:t>
                                    </m:r>
                                    <m:r>
                                      <a:rPr lang="es-PE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∙</m:t>
                                    </m:r>
                                    <m:sSubSup>
                                      <m:sSubSupPr>
                                        <m:ctrlPr>
                                          <a:rPr lang="es-PE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SupPr>
                                      <m:e>
                                        <m:r>
                                          <a:rPr lang="es-PE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𝑓</m:t>
                                        </m:r>
                                      </m:e>
                                      <m:sub>
                                        <m:r>
                                          <a:rPr lang="es-PE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𝑐</m:t>
                                        </m:r>
                                      </m:sub>
                                      <m:sup>
                                        <m:r>
                                          <a:rPr lang="es-PE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′</m:t>
                                        </m:r>
                                      </m:sup>
                                    </m:sSubSup>
                                    <m:r>
                                      <a:rPr lang="es-PE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∙</m:t>
                                    </m:r>
                                    <m:sSub>
                                      <m:sSubPr>
                                        <m:ctrlPr>
                                          <a:rPr lang="es-PE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s-PE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𝑓</m:t>
                                        </m:r>
                                      </m:e>
                                      <m:sub>
                                        <m:r>
                                          <a:rPr lang="es-PE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𝑦</m:t>
                                        </m:r>
                                      </m:sub>
                                    </m:sSub>
                                  </m:e>
                                </m:d>
                              </m:e>
                              <m:sup>
                                <m:r>
                                  <a:rPr lang="es-PE" sz="1100" b="0" i="1">
                                    <a:latin typeface="Cambria Math"/>
                                    <a:ea typeface="Cambria Math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lang="es-PE" sz="1100" b="0" i="1">
                                <a:latin typeface="Cambria Math"/>
                                <a:ea typeface="Cambria Math"/>
                              </a:rPr>
                              <m:t>−23600∙</m:t>
                            </m:r>
                            <m:r>
                              <a:rPr lang="es-P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𝜙</m:t>
                            </m:r>
                            <m:r>
                              <a:rPr lang="es-P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Cambria Math"/>
                                <a:cs typeface="+mn-cs"/>
                              </a:rPr>
                              <m:t>∙</m:t>
                            </m:r>
                            <m:sSub>
                              <m:sSubPr>
                                <m:ctrlPr>
                                  <a:rPr lang="es-P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P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Cambria Math"/>
                                    <a:cs typeface="+mn-cs"/>
                                  </a:rPr>
                                  <m:t>𝑅</m:t>
                                </m:r>
                              </m:e>
                              <m:sub>
                                <m:r>
                                  <a:rPr lang="es-P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Cambria Math"/>
                                    <a:cs typeface="+mn-cs"/>
                                  </a:rPr>
                                  <m:t>𝑢</m:t>
                                </m:r>
                              </m:sub>
                            </m:sSub>
                            <m:r>
                              <a:rPr lang="es-P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Cambria Math"/>
                                <a:cs typeface="+mn-cs"/>
                              </a:rPr>
                              <m:t>∙</m:t>
                            </m:r>
                            <m:sSubSup>
                              <m:sSubSupPr>
                                <m:ctrlPr>
                                  <a:rPr lang="es-P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a:rPr lang="es-P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Cambria Math"/>
                                    <a:cs typeface="+mn-cs"/>
                                  </a:rPr>
                                  <m:t>𝑓</m:t>
                                </m:r>
                              </m:e>
                              <m:sub>
                                <m:r>
                                  <a:rPr lang="es-P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Cambria Math"/>
                                    <a:cs typeface="+mn-cs"/>
                                  </a:rPr>
                                  <m:t>𝑐</m:t>
                                </m:r>
                              </m:sub>
                              <m:sup>
                                <m:r>
                                  <a:rPr lang="es-P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Cambria Math"/>
                                    <a:cs typeface="+mn-cs"/>
                                  </a:rPr>
                                  <m:t>′</m:t>
                                </m:r>
                              </m:sup>
                            </m:sSubSup>
                            <m:r>
                              <a:rPr lang="es-P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Cambria Math"/>
                                <a:cs typeface="+mn-cs"/>
                              </a:rPr>
                              <m:t>∙</m:t>
                            </m:r>
                            <m:sSubSup>
                              <m:sSubSupPr>
                                <m:ctrlPr>
                                  <a:rPr lang="es-P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a:rPr lang="es-P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Cambria Math"/>
                                    <a:cs typeface="+mn-cs"/>
                                  </a:rPr>
                                  <m:t>𝑓</m:t>
                                </m:r>
                              </m:e>
                              <m:sub>
                                <m:r>
                                  <a:rPr lang="es-P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Cambria Math"/>
                                    <a:cs typeface="+mn-cs"/>
                                  </a:rPr>
                                  <m:t>𝑦</m:t>
                                </m:r>
                              </m:sub>
                              <m:sup>
                                <m:r>
                                  <a:rPr lang="es-P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Cambria Math"/>
                                    <a:cs typeface="+mn-cs"/>
                                  </a:rPr>
                                  <m:t>2</m:t>
                                </m:r>
                              </m:sup>
                            </m:sSubSup>
                          </m:e>
                        </m:rad>
                      </m:num>
                      <m:den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118∙</m:t>
                        </m:r>
                        <m:r>
                          <a:rPr lang="es-P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𝜙</m:t>
                        </m:r>
                        <m:r>
                          <a:rPr lang="es-P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Cambria Math"/>
                            <a:cs typeface="+mn-cs"/>
                          </a:rPr>
                          <m:t>∙</m:t>
                        </m:r>
                        <m:sSubSup>
                          <m:sSubSupPr>
                            <m:ctrlPr>
                              <a:rPr lang="es-P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es-P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Cambria Math"/>
                                <a:cs typeface="+mn-cs"/>
                              </a:rPr>
                              <m:t>𝑓</m:t>
                            </m:r>
                          </m:e>
                          <m:sub>
                            <m:r>
                              <a:rPr lang="es-P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Cambria Math"/>
                                <a:cs typeface="+mn-cs"/>
                              </a:rPr>
                              <m:t>𝑦</m:t>
                            </m:r>
                          </m:sub>
                          <m:sup>
                            <m:r>
                              <a:rPr lang="es-P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Cambria Math"/>
                                <a:cs typeface="+mn-cs"/>
                              </a:rPr>
                              <m:t>2</m:t>
                            </m:r>
                          </m:sup>
                        </m:sSubSup>
                      </m:den>
                    </m:f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6" name="45 CuadroTexto"/>
            <xdr:cNvSpPr txBox="1"/>
          </xdr:nvSpPr>
          <xdr:spPr>
            <a:xfrm>
              <a:off x="1924050" y="9886950"/>
              <a:ext cx="4229100" cy="6486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s-PE" sz="1100" i="0">
                  <a:latin typeface="Cambria Math"/>
                  <a:ea typeface="Cambria Math"/>
                </a:rPr>
                <a:t>𝜌</a:t>
              </a:r>
              <a:r>
                <a:rPr lang="es-PE" sz="1100" b="0" i="0">
                  <a:latin typeface="Cambria Math"/>
                  <a:ea typeface="Cambria Math"/>
                </a:rPr>
                <a:t>=(100∙𝜙∙𝑓_𝑐^′∙𝑓_𝑦−√(</a:t>
              </a:r>
              <a:r>
                <a:rPr lang="es-PE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(100∙𝜙∙𝑓_𝑐^′∙𝑓_𝑦 )</a:t>
              </a:r>
              <a:r>
                <a:rPr lang="es-PE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^</a:t>
              </a:r>
              <a:r>
                <a:rPr lang="es-PE" sz="1100" b="0" i="0">
                  <a:latin typeface="Cambria Math"/>
                  <a:ea typeface="Cambria Math"/>
                </a:rPr>
                <a:t>2−23600∙</a:t>
              </a:r>
              <a:r>
                <a:rPr lang="es-PE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𝜙</a:t>
              </a:r>
              <a:r>
                <a:rPr lang="es-PE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∙𝑅_𝑢∙𝑓_𝑐^′∙𝑓_𝑦^2 ))/(</a:t>
              </a:r>
              <a:r>
                <a:rPr lang="es-PE" sz="1100" b="0" i="0">
                  <a:latin typeface="Cambria Math"/>
                  <a:ea typeface="Cambria Math"/>
                </a:rPr>
                <a:t>118∙</a:t>
              </a:r>
              <a:r>
                <a:rPr lang="es-PE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𝜙</a:t>
              </a:r>
              <a:r>
                <a:rPr lang="es-PE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∙𝑓_𝑦^2 )</a:t>
              </a:r>
              <a:endParaRPr lang="es-PE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304799</xdr:colOff>
      <xdr:row>33</xdr:row>
      <xdr:rowOff>19050</xdr:rowOff>
    </xdr:from>
    <xdr:ext cx="2552701" cy="2754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1 CuadroTexto"/>
            <xdr:cNvSpPr txBox="1"/>
          </xdr:nvSpPr>
          <xdr:spPr>
            <a:xfrm>
              <a:off x="2047874" y="5448300"/>
              <a:ext cx="2552701" cy="2754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/>
                            <a:ea typeface="Cambria Math"/>
                          </a:rPr>
                          <m:t>𝜎</m:t>
                        </m:r>
                      </m:e>
                      <m:sub>
                        <m:r>
                          <a:rPr lang="es-PE" sz="1100" b="0" i="1">
                            <a:latin typeface="Cambria Math"/>
                          </a:rPr>
                          <m:t>𝑛</m:t>
                        </m:r>
                      </m:sub>
                    </m:sSub>
                    <m:r>
                      <a:rPr lang="es-PE" sz="1100" b="0" i="1">
                        <a:latin typeface="Cambria Math"/>
                      </a:rPr>
                      <m:t>=</m:t>
                    </m:r>
                    <m:sSub>
                      <m:sSubPr>
                        <m:ctrlPr>
                          <a:rPr lang="es-PE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𝜎</m:t>
                        </m:r>
                      </m:e>
                      <m:sub>
                        <m:r>
                          <a:rPr lang="es-PE" sz="1100" b="0" i="1">
                            <a:latin typeface="Cambria Math"/>
                          </a:rPr>
                          <m:t>𝑡</m:t>
                        </m:r>
                      </m:sub>
                    </m:sSub>
                    <m:r>
                      <a:rPr lang="es-PE" sz="1100" b="0" i="1">
                        <a:latin typeface="Cambria Math"/>
                      </a:rPr>
                      <m:t>−</m:t>
                    </m:r>
                    <m:sSub>
                      <m:sSubPr>
                        <m:ctrlPr>
                          <a:rPr lang="es-PE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𝛾</m:t>
                        </m:r>
                      </m:e>
                      <m:sub>
                        <m:r>
                          <a:rPr lang="es-PE" sz="1100" b="0" i="1">
                            <a:latin typeface="Cambria Math"/>
                          </a:rPr>
                          <m:t>𝑝𝑜𝑚</m:t>
                        </m:r>
                      </m:sub>
                    </m:sSub>
                    <m:r>
                      <a:rPr lang="es-PE" sz="1100" b="0" i="1">
                        <a:latin typeface="Cambria Math"/>
                        <a:ea typeface="Cambria Math"/>
                      </a:rPr>
                      <m:t>∙</m:t>
                    </m:r>
                    <m:sSub>
                      <m:sSubPr>
                        <m:ctrlPr>
                          <a:rPr lang="es-PE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h</m:t>
                        </m:r>
                      </m:e>
                      <m:sub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𝑓</m:t>
                        </m:r>
                      </m:sub>
                    </m:sSub>
                    <m:r>
                      <a:rPr lang="es-PE" sz="1100" b="0" i="1">
                        <a:latin typeface="Cambria Math"/>
                      </a:rPr>
                      <m:t>−</m:t>
                    </m:r>
                    <m:sSub>
                      <m:sSubPr>
                        <m:ctrlPr>
                          <a:rPr lang="es-PE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b="0" i="1">
                            <a:latin typeface="Cambria Math"/>
                          </a:rPr>
                          <m:t>h</m:t>
                        </m:r>
                      </m:e>
                      <m:sub>
                        <m:r>
                          <a:rPr lang="es-PE" sz="1100" b="0" i="1">
                            <a:latin typeface="Cambria Math"/>
                          </a:rPr>
                          <m:t>𝑐</m:t>
                        </m:r>
                      </m:sub>
                    </m:sSub>
                    <m:r>
                      <a:rPr lang="es-PE" sz="1100" b="0" i="1">
                        <a:latin typeface="Cambria Math"/>
                        <a:ea typeface="Cambria Math"/>
                      </a:rPr>
                      <m:t>∙</m:t>
                    </m:r>
                    <m:sSub>
                      <m:sSubPr>
                        <m:ctrlPr>
                          <a:rPr lang="es-PE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𝛾</m:t>
                        </m:r>
                      </m:e>
                      <m:sub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𝑐</m:t>
                        </m:r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−</m:t>
                        </m:r>
                      </m:sub>
                    </m:sSub>
                    <m:r>
                      <a:rPr lang="es-PE" sz="1100" b="0" i="1">
                        <a:latin typeface="Cambria Math"/>
                      </a:rPr>
                      <m:t>𝑆</m:t>
                    </m:r>
                    <m:r>
                      <a:rPr lang="es-PE" sz="1100" b="0" i="1">
                        <a:latin typeface="Cambria Math"/>
                      </a:rPr>
                      <m:t>/</m:t>
                    </m:r>
                    <m:r>
                      <a:rPr lang="es-PE" sz="1100" b="0" i="1">
                        <a:latin typeface="Cambria Math"/>
                      </a:rPr>
                      <m:t>𝐶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" name="1 CuadroTexto"/>
            <xdr:cNvSpPr txBox="1"/>
          </xdr:nvSpPr>
          <xdr:spPr>
            <a:xfrm>
              <a:off x="2047874" y="5448300"/>
              <a:ext cx="2552701" cy="2754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s-PE" sz="1100" i="0">
                  <a:latin typeface="Cambria Math"/>
                  <a:ea typeface="Cambria Math"/>
                </a:rPr>
                <a:t>𝜎_</a:t>
              </a:r>
              <a:r>
                <a:rPr lang="es-PE" sz="1100" b="0" i="0">
                  <a:latin typeface="Cambria Math"/>
                </a:rPr>
                <a:t>𝑛=</a:t>
              </a:r>
              <a:r>
                <a:rPr lang="es-PE" sz="1100" b="0" i="0">
                  <a:latin typeface="Cambria Math"/>
                  <a:ea typeface="Cambria Math"/>
                </a:rPr>
                <a:t>𝜎_</a:t>
              </a:r>
              <a:r>
                <a:rPr lang="es-PE" sz="1100" b="0" i="0">
                  <a:latin typeface="Cambria Math"/>
                </a:rPr>
                <a:t>𝑡−</a:t>
              </a:r>
              <a:r>
                <a:rPr lang="es-PE" sz="1100" b="0" i="0">
                  <a:latin typeface="Cambria Math"/>
                  <a:ea typeface="Cambria Math"/>
                </a:rPr>
                <a:t>𝛾_</a:t>
              </a:r>
              <a:r>
                <a:rPr lang="es-PE" sz="1100" b="0" i="0">
                  <a:latin typeface="Cambria Math"/>
                </a:rPr>
                <a:t>𝑝𝑜𝑚</a:t>
              </a:r>
              <a:r>
                <a:rPr lang="es-PE" sz="1100" b="0" i="0">
                  <a:latin typeface="Cambria Math"/>
                  <a:ea typeface="Cambria Math"/>
                </a:rPr>
                <a:t>∙ℎ_𝑓</a:t>
              </a:r>
              <a:r>
                <a:rPr lang="es-PE" sz="1100" b="0" i="0">
                  <a:latin typeface="Cambria Math"/>
                </a:rPr>
                <a:t>−ℎ_𝑐</a:t>
              </a:r>
              <a:r>
                <a:rPr lang="es-PE" sz="1100" b="0" i="0">
                  <a:latin typeface="Cambria Math"/>
                  <a:ea typeface="Cambria Math"/>
                </a:rPr>
                <a:t>∙𝛾_(𝑐−) </a:t>
              </a:r>
              <a:r>
                <a:rPr lang="es-PE" sz="1100" b="0" i="0">
                  <a:latin typeface="Cambria Math"/>
                </a:rPr>
                <a:t>𝑆/𝐶</a:t>
              </a:r>
              <a:endParaRPr lang="es-PE" sz="1100"/>
            </a:p>
          </xdr:txBody>
        </xdr:sp>
      </mc:Fallback>
    </mc:AlternateContent>
    <xdr:clientData/>
  </xdr:oneCellAnchor>
  <xdr:twoCellAnchor editAs="oneCell">
    <xdr:from>
      <xdr:col>2</xdr:col>
      <xdr:colOff>200026</xdr:colOff>
      <xdr:row>11</xdr:row>
      <xdr:rowOff>38100</xdr:rowOff>
    </xdr:from>
    <xdr:to>
      <xdr:col>11</xdr:col>
      <xdr:colOff>285750</xdr:colOff>
      <xdr:row>33</xdr:row>
      <xdr:rowOff>35212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1" y="2019300"/>
          <a:ext cx="4476749" cy="3454687"/>
        </a:xfrm>
        <a:prstGeom prst="rect">
          <a:avLst/>
        </a:prstGeom>
      </xdr:spPr>
    </xdr:pic>
    <xdr:clientData/>
  </xdr:twoCellAnchor>
  <xdr:twoCellAnchor editAs="oneCell">
    <xdr:from>
      <xdr:col>6</xdr:col>
      <xdr:colOff>209549</xdr:colOff>
      <xdr:row>35</xdr:row>
      <xdr:rowOff>168789</xdr:rowOff>
    </xdr:from>
    <xdr:to>
      <xdr:col>13</xdr:col>
      <xdr:colOff>219075</xdr:colOff>
      <xdr:row>45</xdr:row>
      <xdr:rowOff>160209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4" y="6093339"/>
          <a:ext cx="3257551" cy="1639245"/>
        </a:xfrm>
        <a:prstGeom prst="rect">
          <a:avLst/>
        </a:prstGeom>
      </xdr:spPr>
    </xdr:pic>
    <xdr:clientData/>
  </xdr:twoCellAnchor>
  <xdr:oneCellAnchor>
    <xdr:from>
      <xdr:col>4</xdr:col>
      <xdr:colOff>171450</xdr:colOff>
      <xdr:row>36</xdr:row>
      <xdr:rowOff>38100</xdr:rowOff>
    </xdr:from>
    <xdr:ext cx="857250" cy="43781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5 CuadroTexto"/>
            <xdr:cNvSpPr txBox="1"/>
          </xdr:nvSpPr>
          <xdr:spPr>
            <a:xfrm>
              <a:off x="1638300" y="5981700"/>
              <a:ext cx="857250" cy="43781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b="0" i="1">
                            <a:latin typeface="Cambria Math"/>
                          </a:rPr>
                          <m:t>𝐴</m:t>
                        </m:r>
                      </m:e>
                      <m:sub>
                        <m:r>
                          <a:rPr lang="es-PE" sz="1100" b="0" i="1">
                            <a:latin typeface="Cambria Math"/>
                          </a:rPr>
                          <m:t>𝑧𝑎𝑝</m:t>
                        </m:r>
                      </m:sub>
                    </m:sSub>
                    <m:r>
                      <a:rPr lang="es-PE" sz="11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es-PE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PE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PE" sz="1100" b="0" i="1">
                                <a:latin typeface="Cambria Math"/>
                              </a:rPr>
                              <m:t>𝑃</m:t>
                            </m:r>
                          </m:e>
                          <m:sub>
                            <m:r>
                              <a:rPr lang="es-PE" sz="1100" b="0" i="1">
                                <a:latin typeface="Cambria Math"/>
                              </a:rPr>
                              <m:t>𝑇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s-PE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PE" sz="1100" b="0" i="1">
                                <a:latin typeface="Cambria Math"/>
                                <a:ea typeface="Cambria Math"/>
                              </a:rPr>
                              <m:t>𝜎</m:t>
                            </m:r>
                          </m:e>
                          <m:sub>
                            <m:r>
                              <a:rPr lang="es-PE" sz="1100" b="0" i="1">
                                <a:latin typeface="Cambria Math"/>
                              </a:rPr>
                              <m:t>𝑛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6" name="5 CuadroTexto"/>
            <xdr:cNvSpPr txBox="1"/>
          </xdr:nvSpPr>
          <xdr:spPr>
            <a:xfrm>
              <a:off x="1638300" y="5981700"/>
              <a:ext cx="857250" cy="43781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s-PE" sz="1100" b="0" i="0">
                  <a:latin typeface="Cambria Math"/>
                </a:rPr>
                <a:t>𝐴_𝑧𝑎𝑝=𝑃_𝑇/</a:t>
              </a:r>
              <a:r>
                <a:rPr lang="es-PE" sz="1100" b="0" i="0">
                  <a:latin typeface="Cambria Math"/>
                  <a:ea typeface="Cambria Math"/>
                </a:rPr>
                <a:t>𝜎_</a:t>
              </a:r>
              <a:r>
                <a:rPr lang="es-PE" sz="1100" b="0" i="0">
                  <a:latin typeface="Cambria Math"/>
                </a:rPr>
                <a:t>𝑛 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5</xdr:col>
      <xdr:colOff>257175</xdr:colOff>
      <xdr:row>46</xdr:row>
      <xdr:rowOff>47625</xdr:rowOff>
    </xdr:from>
    <xdr:ext cx="1352550" cy="40921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2 CuadroTexto"/>
            <xdr:cNvSpPr txBox="1"/>
          </xdr:nvSpPr>
          <xdr:spPr>
            <a:xfrm>
              <a:off x="2095500" y="8096250"/>
              <a:ext cx="1352550" cy="4092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b="0" i="1">
                            <a:latin typeface="Cambria Math"/>
                          </a:rPr>
                          <m:t>𝑊</m:t>
                        </m:r>
                      </m:e>
                      <m:sub>
                        <m:r>
                          <a:rPr lang="es-PE" sz="1100" b="0" i="1">
                            <a:latin typeface="Cambria Math"/>
                          </a:rPr>
                          <m:t>𝑁𝑈</m:t>
                        </m:r>
                      </m:sub>
                    </m:sSub>
                    <m:r>
                      <a:rPr lang="es-PE" sz="11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es-PE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PE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PE" sz="1100" b="0" i="1">
                                <a:latin typeface="Cambria Math"/>
                              </a:rPr>
                              <m:t>𝑃</m:t>
                            </m:r>
                          </m:e>
                          <m:sub>
                            <m:r>
                              <a:rPr lang="es-PE" sz="1100" b="0" i="1">
                                <a:latin typeface="Cambria Math"/>
                              </a:rPr>
                              <m:t>1</m:t>
                            </m:r>
                            <m:r>
                              <a:rPr lang="es-PE" sz="1100" b="0" i="1">
                                <a:latin typeface="Cambria Math"/>
                              </a:rPr>
                              <m:t>𝑈</m:t>
                            </m:r>
                          </m:sub>
                        </m:sSub>
                        <m:r>
                          <a:rPr lang="es-PE" sz="1100" b="0" i="1">
                            <a:latin typeface="Cambria Math"/>
                          </a:rPr>
                          <m:t>+</m:t>
                        </m:r>
                        <m:sSub>
                          <m:sSubPr>
                            <m:ctrlPr>
                              <a:rPr lang="es-PE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PE" sz="1100" b="0" i="1">
                                <a:latin typeface="Cambria Math"/>
                              </a:rPr>
                              <m:t>𝑃</m:t>
                            </m:r>
                          </m:e>
                          <m:sub>
                            <m:r>
                              <a:rPr lang="es-PE" sz="1100" b="0" i="1">
                                <a:latin typeface="Cambria Math"/>
                              </a:rPr>
                              <m:t>2</m:t>
                            </m:r>
                            <m:r>
                              <a:rPr lang="es-PE" sz="1100" b="0" i="1">
                                <a:latin typeface="Cambria Math"/>
                              </a:rPr>
                              <m:t>𝑈</m:t>
                            </m:r>
                          </m:sub>
                        </m:sSub>
                      </m:num>
                      <m:den>
                        <m:r>
                          <a:rPr lang="es-PE" sz="1100" b="0" i="1">
                            <a:latin typeface="Cambria Math"/>
                          </a:rPr>
                          <m:t>𝑙𝑧</m:t>
                        </m:r>
                      </m:den>
                    </m:f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" name="2 CuadroTexto"/>
            <xdr:cNvSpPr txBox="1"/>
          </xdr:nvSpPr>
          <xdr:spPr>
            <a:xfrm>
              <a:off x="2095500" y="8096250"/>
              <a:ext cx="1352550" cy="4092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s-PE" sz="1100" b="0" i="0">
                  <a:latin typeface="Cambria Math"/>
                </a:rPr>
                <a:t>𝑊_𝑁𝑈=(𝑃_1𝑈+𝑃_2𝑈)/𝑙𝑧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9</xdr:col>
      <xdr:colOff>38100</xdr:colOff>
      <xdr:row>46</xdr:row>
      <xdr:rowOff>9525</xdr:rowOff>
    </xdr:from>
    <xdr:ext cx="1352550" cy="4081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6 CuadroTexto"/>
            <xdr:cNvSpPr txBox="1"/>
          </xdr:nvSpPr>
          <xdr:spPr>
            <a:xfrm>
              <a:off x="3676650" y="8058150"/>
              <a:ext cx="1352550" cy="4081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b="0" i="1">
                            <a:latin typeface="Cambria Math"/>
                          </a:rPr>
                          <m:t>𝑊</m:t>
                        </m:r>
                      </m:e>
                      <m:sub>
                        <m:r>
                          <a:rPr lang="es-PE" sz="1100" b="0" i="1">
                            <a:latin typeface="Cambria Math"/>
                          </a:rPr>
                          <m:t>𝑛𝑢</m:t>
                        </m:r>
                      </m:sub>
                    </m:sSub>
                    <m:r>
                      <a:rPr lang="es-PE" sz="11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es-PE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PE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PE" sz="1100" b="0" i="1">
                                <a:latin typeface="Cambria Math"/>
                              </a:rPr>
                              <m:t>𝑊</m:t>
                            </m:r>
                          </m:e>
                          <m:sub>
                            <m:r>
                              <a:rPr lang="es-PE" sz="1100" b="0" i="1">
                                <a:latin typeface="Cambria Math"/>
                              </a:rPr>
                              <m:t>𝑁𝑈</m:t>
                            </m:r>
                          </m:sub>
                        </m:sSub>
                      </m:num>
                      <m:den>
                        <m:r>
                          <a:rPr lang="es-PE" sz="1100" b="0" i="1">
                            <a:latin typeface="Cambria Math"/>
                          </a:rPr>
                          <m:t>𝑏</m:t>
                        </m:r>
                      </m:den>
                    </m:f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7" name="6 CuadroTexto"/>
            <xdr:cNvSpPr txBox="1"/>
          </xdr:nvSpPr>
          <xdr:spPr>
            <a:xfrm>
              <a:off x="3676650" y="8058150"/>
              <a:ext cx="1352550" cy="4081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s-PE" sz="1100" b="0" i="0">
                  <a:latin typeface="Cambria Math"/>
                </a:rPr>
                <a:t>𝑊_𝑛𝑢=𝑊_𝑁𝑈/𝑏</a:t>
              </a:r>
              <a:endParaRPr lang="es-PE" sz="1100"/>
            </a:p>
          </xdr:txBody>
        </xdr:sp>
      </mc:Fallback>
    </mc:AlternateContent>
    <xdr:clientData/>
  </xdr:oneCellAnchor>
  <xdr:twoCellAnchor>
    <xdr:from>
      <xdr:col>4</xdr:col>
      <xdr:colOff>152400</xdr:colOff>
      <xdr:row>42</xdr:row>
      <xdr:rowOff>95250</xdr:rowOff>
    </xdr:from>
    <xdr:to>
      <xdr:col>5</xdr:col>
      <xdr:colOff>76200</xdr:colOff>
      <xdr:row>42</xdr:row>
      <xdr:rowOff>95250</xdr:rowOff>
    </xdr:to>
    <xdr:cxnSp macro="">
      <xdr:nvCxnSpPr>
        <xdr:cNvPr id="9" name="8 Conector recto de flecha"/>
        <xdr:cNvCxnSpPr/>
      </xdr:nvCxnSpPr>
      <xdr:spPr>
        <a:xfrm>
          <a:off x="1466850" y="7010400"/>
          <a:ext cx="35242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219075</xdr:colOff>
      <xdr:row>44</xdr:row>
      <xdr:rowOff>85725</xdr:rowOff>
    </xdr:from>
    <xdr:to>
      <xdr:col>5</xdr:col>
      <xdr:colOff>142875</xdr:colOff>
      <xdr:row>44</xdr:row>
      <xdr:rowOff>85725</xdr:rowOff>
    </xdr:to>
    <xdr:cxnSp macro="">
      <xdr:nvCxnSpPr>
        <xdr:cNvPr id="10" name="9 Conector recto de flecha"/>
        <xdr:cNvCxnSpPr/>
      </xdr:nvCxnSpPr>
      <xdr:spPr>
        <a:xfrm>
          <a:off x="1533525" y="7324725"/>
          <a:ext cx="35242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348035</xdr:colOff>
      <xdr:row>64</xdr:row>
      <xdr:rowOff>28575</xdr:rowOff>
    </xdr:from>
    <xdr:to>
      <xdr:col>11</xdr:col>
      <xdr:colOff>381000</xdr:colOff>
      <xdr:row>75</xdr:row>
      <xdr:rowOff>155037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035" y="10506075"/>
          <a:ext cx="4795465" cy="1907637"/>
        </a:xfrm>
        <a:prstGeom prst="rect">
          <a:avLst/>
        </a:prstGeom>
      </xdr:spPr>
    </xdr:pic>
    <xdr:clientData/>
  </xdr:twoCellAnchor>
  <xdr:oneCellAnchor>
    <xdr:from>
      <xdr:col>1</xdr:col>
      <xdr:colOff>295274</xdr:colOff>
      <xdr:row>75</xdr:row>
      <xdr:rowOff>123825</xdr:rowOff>
    </xdr:from>
    <xdr:ext cx="1924051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11 CuadroTexto"/>
            <xdr:cNvSpPr txBox="1"/>
          </xdr:nvSpPr>
          <xdr:spPr>
            <a:xfrm>
              <a:off x="295274" y="12382500"/>
              <a:ext cx="1924051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b="0" i="1">
                            <a:latin typeface="Cambria Math"/>
                          </a:rPr>
                          <m:t>𝑉</m:t>
                        </m:r>
                      </m:e>
                      <m:sub>
                        <m:r>
                          <a:rPr lang="es-PE" sz="1100" b="0" i="1">
                            <a:latin typeface="Cambria Math"/>
                          </a:rPr>
                          <m:t>𝑧</m:t>
                        </m:r>
                      </m:sub>
                    </m:sSub>
                    <m:r>
                      <a:rPr lang="es-PE" sz="1100" b="0" i="1">
                        <a:latin typeface="Cambria Math"/>
                      </a:rPr>
                      <m:t>=−</m:t>
                    </m:r>
                    <m:sSub>
                      <m:sSubPr>
                        <m:ctrlPr>
                          <a:rPr lang="es-PE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es-PE" sz="1100" b="0" i="1">
                            <a:latin typeface="Cambria Math"/>
                          </a:rPr>
                          <m:t>1</m:t>
                        </m:r>
                        <m:r>
                          <a:rPr lang="es-PE" sz="1100" b="0" i="1">
                            <a:latin typeface="Cambria Math"/>
                          </a:rPr>
                          <m:t>𝑈</m:t>
                        </m:r>
                      </m:sub>
                    </m:sSub>
                    <m:r>
                      <a:rPr lang="es-PE" sz="11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es-PE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b="0" i="1">
                            <a:latin typeface="Cambria Math"/>
                          </a:rPr>
                          <m:t>𝑊</m:t>
                        </m:r>
                      </m:e>
                      <m:sub>
                        <m:r>
                          <a:rPr lang="es-PE" sz="1100" b="0" i="1">
                            <a:latin typeface="Cambria Math"/>
                          </a:rPr>
                          <m:t>𝑁𝑈</m:t>
                        </m:r>
                      </m:sub>
                    </m:sSub>
                    <m:r>
                      <a:rPr lang="es-PE" sz="1100" b="0" i="1">
                        <a:latin typeface="Cambria Math"/>
                        <a:ea typeface="Cambria Math"/>
                      </a:rPr>
                      <m:t>∙</m:t>
                    </m:r>
                    <m:sSub>
                      <m:sSubPr>
                        <m:ctrlPr>
                          <a:rPr lang="es-PE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𝑋</m:t>
                        </m:r>
                      </m:e>
                      <m:sub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𝑂</m:t>
                        </m:r>
                      </m:sub>
                    </m:sSub>
                    <m:r>
                      <a:rPr lang="es-PE" sz="1100" b="0" i="1">
                        <a:latin typeface="Cambria Math"/>
                        <a:ea typeface="Cambria Math"/>
                      </a:rPr>
                      <m:t>=0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2" name="11 CuadroTexto"/>
            <xdr:cNvSpPr txBox="1"/>
          </xdr:nvSpPr>
          <xdr:spPr>
            <a:xfrm>
              <a:off x="295274" y="12382500"/>
              <a:ext cx="1924051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s-PE" sz="1100" b="0" i="0">
                  <a:latin typeface="Cambria Math"/>
                </a:rPr>
                <a:t>𝑉_𝑧=−𝑃_1𝑈+𝑊_𝑁𝑈</a:t>
              </a:r>
              <a:r>
                <a:rPr lang="es-PE" sz="1100" b="0" i="0">
                  <a:latin typeface="Cambria Math"/>
                  <a:ea typeface="Cambria Math"/>
                </a:rPr>
                <a:t>∙𝑋_𝑂=0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</xdr:col>
      <xdr:colOff>314326</xdr:colOff>
      <xdr:row>77</xdr:row>
      <xdr:rowOff>38100</xdr:rowOff>
    </xdr:from>
    <xdr:ext cx="2305049" cy="4387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12 CuadroTexto"/>
            <xdr:cNvSpPr txBox="1"/>
          </xdr:nvSpPr>
          <xdr:spPr>
            <a:xfrm>
              <a:off x="314326" y="12649200"/>
              <a:ext cx="2305049" cy="4387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b="0" i="1">
                            <a:latin typeface="Cambria Math"/>
                          </a:rPr>
                          <m:t>𝑀</m:t>
                        </m:r>
                      </m:e>
                      <m:sub>
                        <m:r>
                          <a:rPr lang="es-PE" sz="1100" b="0" i="1">
                            <a:latin typeface="Cambria Math"/>
                          </a:rPr>
                          <m:t>𝑚</m:t>
                        </m:r>
                        <m:r>
                          <a:rPr lang="es-PE" sz="1100" b="0" i="1">
                            <a:latin typeface="Cambria Math"/>
                          </a:rPr>
                          <m:t>á</m:t>
                        </m:r>
                        <m:r>
                          <a:rPr lang="es-PE" sz="1100" b="0" i="1">
                            <a:latin typeface="Cambria Math"/>
                          </a:rPr>
                          <m:t>𝑥</m:t>
                        </m:r>
                      </m:sub>
                    </m:sSub>
                    <m:r>
                      <a:rPr lang="es-PE" sz="1100" b="0" i="1">
                        <a:latin typeface="Cambria Math"/>
                      </a:rPr>
                      <m:t>=</m:t>
                    </m:r>
                    <m:sSub>
                      <m:sSubPr>
                        <m:ctrlPr>
                          <a:rPr lang="es-PE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b="0" i="1">
                            <a:latin typeface="Cambria Math"/>
                          </a:rPr>
                          <m:t>𝑊</m:t>
                        </m:r>
                      </m:e>
                      <m:sub>
                        <m:r>
                          <a:rPr lang="es-PE" sz="1100" b="0" i="1">
                            <a:latin typeface="Cambria Math"/>
                          </a:rPr>
                          <m:t>𝑁𝑈</m:t>
                        </m:r>
                      </m:sub>
                    </m:sSub>
                    <m:r>
                      <a:rPr lang="es-PE" sz="1100" b="0" i="1">
                        <a:latin typeface="Cambria Math"/>
                        <a:ea typeface="Cambria Math"/>
                      </a:rPr>
                      <m:t>∙</m:t>
                    </m:r>
                    <m:f>
                      <m:fPr>
                        <m:ctrlPr>
                          <a:rPr lang="es-PE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fPr>
                      <m:num>
                        <m:sSubSup>
                          <m:sSubSupPr>
                            <m:ctrlPr>
                              <a:rPr lang="es-PE" sz="11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bSupPr>
                          <m:e>
                            <m:r>
                              <a:rPr lang="es-PE" sz="1100" b="0" i="1">
                                <a:latin typeface="Cambria Math"/>
                                <a:ea typeface="Cambria Math"/>
                              </a:rPr>
                              <m:t>𝑋</m:t>
                            </m:r>
                          </m:e>
                          <m:sub>
                            <m:r>
                              <a:rPr lang="es-PE" sz="1100" b="0" i="1">
                                <a:latin typeface="Cambria Math"/>
                                <a:ea typeface="Cambria Math"/>
                              </a:rPr>
                              <m:t>𝑂</m:t>
                            </m:r>
                          </m:sub>
                          <m:sup>
                            <m:r>
                              <a:rPr lang="es-PE" sz="1100" b="0" i="1">
                                <a:latin typeface="Cambria Math"/>
                                <a:ea typeface="Cambria Math"/>
                              </a:rPr>
                              <m:t>2</m:t>
                            </m:r>
                          </m:sup>
                        </m:sSubSup>
                      </m:num>
                      <m:den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2</m:t>
                        </m:r>
                      </m:den>
                    </m:f>
                    <m:r>
                      <a:rPr lang="es-PE" sz="1100" b="0" i="1">
                        <a:latin typeface="Cambria Math"/>
                        <a:ea typeface="Cambria Math"/>
                      </a:rPr>
                      <m:t>−</m:t>
                    </m:r>
                    <m:sSub>
                      <m:sSubPr>
                        <m:ctrlPr>
                          <a:rPr lang="es-PE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𝑃</m:t>
                        </m:r>
                      </m:e>
                      <m:sub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1</m:t>
                        </m:r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𝑈</m:t>
                        </m:r>
                      </m:sub>
                    </m:sSub>
                    <m:r>
                      <a:rPr lang="es-PE" sz="1100" b="0" i="1">
                        <a:latin typeface="Cambria Math"/>
                        <a:ea typeface="Cambria Math"/>
                      </a:rPr>
                      <m:t>∙</m:t>
                    </m:r>
                    <m:d>
                      <m:dPr>
                        <m:ctrlPr>
                          <a:rPr lang="es-PE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PE" sz="11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a:rPr lang="es-PE" sz="1100" b="0" i="1">
                                <a:latin typeface="Cambria Math"/>
                                <a:ea typeface="Cambria Math"/>
                              </a:rPr>
                              <m:t>𝑋</m:t>
                            </m:r>
                          </m:e>
                          <m:sub>
                            <m:r>
                              <a:rPr lang="es-PE" sz="1100" b="0" i="1">
                                <a:latin typeface="Cambria Math"/>
                                <a:ea typeface="Cambria Math"/>
                              </a:rPr>
                              <m:t>𝑂</m:t>
                            </m:r>
                          </m:sub>
                        </m:sSub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−</m:t>
                        </m:r>
                        <m:f>
                          <m:fPr>
                            <m:ctrlPr>
                              <a:rPr lang="es-PE" sz="11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s-PE" sz="1100" b="0" i="1">
                                    <a:latin typeface="Cambria Math" panose="02040503050406030204" pitchFamily="18" charset="0"/>
                                    <a:ea typeface="Cambria Math"/>
                                  </a:rPr>
                                </m:ctrlPr>
                              </m:sSubPr>
                              <m:e>
                                <m:r>
                                  <a:rPr lang="es-PE" sz="1100" b="0" i="1">
                                    <a:latin typeface="Cambria Math"/>
                                    <a:ea typeface="Cambria Math"/>
                                  </a:rPr>
                                  <m:t>𝑡</m:t>
                                </m:r>
                              </m:e>
                              <m:sub>
                                <m:r>
                                  <a:rPr lang="es-PE" sz="1100" b="0" i="1">
                                    <a:latin typeface="Cambria Math"/>
                                    <a:ea typeface="Cambria Math"/>
                                  </a:rPr>
                                  <m:t>1</m:t>
                                </m:r>
                              </m:sub>
                            </m:sSub>
                          </m:num>
                          <m:den>
                            <m:r>
                              <a:rPr lang="es-PE" sz="1100" b="0" i="1">
                                <a:latin typeface="Cambria Math"/>
                                <a:ea typeface="Cambria Math"/>
                              </a:rPr>
                              <m:t>2</m:t>
                            </m:r>
                          </m:den>
                        </m:f>
                      </m:e>
                    </m:d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3" name="12 CuadroTexto"/>
            <xdr:cNvSpPr txBox="1"/>
          </xdr:nvSpPr>
          <xdr:spPr>
            <a:xfrm>
              <a:off x="314326" y="12649200"/>
              <a:ext cx="2305049" cy="4387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s-PE" sz="1100" b="0" i="0">
                  <a:latin typeface="Cambria Math"/>
                </a:rPr>
                <a:t>𝑀_𝑚á𝑥=𝑊_𝑁𝑈</a:t>
              </a:r>
              <a:r>
                <a:rPr lang="es-PE" sz="1100" b="0" i="0">
                  <a:latin typeface="Cambria Math"/>
                  <a:ea typeface="Cambria Math"/>
                </a:rPr>
                <a:t>∙(𝑋_𝑂^2)/2−𝑃_1𝑈∙(𝑋_𝑂−𝑡_1/2)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</xdr:col>
      <xdr:colOff>276225</xdr:colOff>
      <xdr:row>79</xdr:row>
      <xdr:rowOff>114300</xdr:rowOff>
    </xdr:from>
    <xdr:ext cx="2762250" cy="472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13 CuadroTexto"/>
            <xdr:cNvSpPr txBox="1"/>
          </xdr:nvSpPr>
          <xdr:spPr>
            <a:xfrm>
              <a:off x="276225" y="13077825"/>
              <a:ext cx="2762250" cy="472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b="0" i="1">
                            <a:latin typeface="Cambria Math"/>
                          </a:rPr>
                          <m:t>𝑀</m:t>
                        </m:r>
                      </m:e>
                      <m:sub>
                        <m:r>
                          <a:rPr lang="es-PE" sz="1100" b="0" i="1">
                            <a:latin typeface="Cambria Math"/>
                          </a:rPr>
                          <m:t>𝑈</m:t>
                        </m:r>
                      </m:sub>
                    </m:sSub>
                    <m:r>
                      <a:rPr lang="es-PE" sz="1100" b="0" i="1">
                        <a:latin typeface="Cambria Math"/>
                      </a:rPr>
                      <m:t>=</m:t>
                    </m:r>
                    <m:r>
                      <a:rPr lang="es-PE" sz="1100" b="0" i="1">
                        <a:latin typeface="Cambria Math"/>
                        <a:ea typeface="Cambria Math"/>
                      </a:rPr>
                      <m:t>∅∙</m:t>
                    </m:r>
                    <m:r>
                      <a:rPr lang="es-PE" sz="1100" b="0" i="1">
                        <a:latin typeface="Cambria Math"/>
                        <a:ea typeface="Cambria Math"/>
                      </a:rPr>
                      <m:t>𝜌</m:t>
                    </m:r>
                    <m:r>
                      <a:rPr lang="es-PE" sz="1100" b="0" i="1">
                        <a:latin typeface="Cambria Math"/>
                        <a:ea typeface="Cambria Math"/>
                      </a:rPr>
                      <m:t>∙</m:t>
                    </m:r>
                    <m:r>
                      <a:rPr lang="es-PE" sz="1100" b="0" i="1">
                        <a:latin typeface="Cambria Math"/>
                        <a:ea typeface="Cambria Math"/>
                      </a:rPr>
                      <m:t>𝑏</m:t>
                    </m:r>
                    <m:r>
                      <a:rPr lang="es-PE" sz="1100" b="0" i="1">
                        <a:latin typeface="Cambria Math"/>
                        <a:ea typeface="Cambria Math"/>
                      </a:rPr>
                      <m:t>∙</m:t>
                    </m:r>
                    <m:sSup>
                      <m:sSupPr>
                        <m:ctrlPr>
                          <a:rPr lang="es-PE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pPr>
                      <m:e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𝑑</m:t>
                        </m:r>
                      </m:e>
                      <m:sup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2</m:t>
                        </m:r>
                      </m:sup>
                    </m:sSup>
                    <m:r>
                      <a:rPr lang="es-PE" sz="1100" b="0" i="1">
                        <a:latin typeface="Cambria Math"/>
                        <a:ea typeface="Cambria Math"/>
                      </a:rPr>
                      <m:t>∙</m:t>
                    </m:r>
                    <m:r>
                      <a:rPr lang="es-PE" sz="1100" b="0" i="1">
                        <a:latin typeface="Cambria Math"/>
                        <a:ea typeface="Cambria Math"/>
                      </a:rPr>
                      <m:t>𝑓𝑦</m:t>
                    </m:r>
                    <m:r>
                      <a:rPr lang="es-PE" sz="1100" b="0" i="1">
                        <a:latin typeface="Cambria Math"/>
                        <a:ea typeface="Cambria Math"/>
                      </a:rPr>
                      <m:t>∙</m:t>
                    </m:r>
                    <m:d>
                      <m:dPr>
                        <m:ctrlPr>
                          <a:rPr lang="es-PE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dPr>
                      <m:e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1−0.59∙</m:t>
                        </m:r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𝜌</m:t>
                        </m:r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∙</m:t>
                        </m:r>
                        <m:f>
                          <m:fPr>
                            <m:ctrlPr>
                              <a:rPr lang="es-PE" sz="11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fPr>
                          <m:num>
                            <m:r>
                              <a:rPr lang="es-PE" sz="1100" b="0" i="1">
                                <a:latin typeface="Cambria Math"/>
                                <a:ea typeface="Cambria Math"/>
                              </a:rPr>
                              <m:t>𝑓𝑦</m:t>
                            </m:r>
                          </m:num>
                          <m:den>
                            <m:sSup>
                              <m:sSupPr>
                                <m:ctrlPr>
                                  <a:rPr lang="es-PE" sz="1100" b="0" i="1">
                                    <a:latin typeface="Cambria Math" panose="02040503050406030204" pitchFamily="18" charset="0"/>
                                    <a:ea typeface="Cambria Math"/>
                                  </a:rPr>
                                </m:ctrlPr>
                              </m:sSupPr>
                              <m:e>
                                <m:r>
                                  <a:rPr lang="es-PE" sz="1100" b="0" i="1">
                                    <a:latin typeface="Cambria Math"/>
                                    <a:ea typeface="Cambria Math"/>
                                  </a:rPr>
                                  <m:t>𝑓</m:t>
                                </m:r>
                              </m:e>
                              <m:sup>
                                <m:r>
                                  <a:rPr lang="es-PE" sz="1100" b="0" i="1">
                                    <a:latin typeface="Cambria Math"/>
                                    <a:ea typeface="Cambria Math"/>
                                  </a:rPr>
                                  <m:t>′</m:t>
                                </m:r>
                              </m:sup>
                            </m:sSup>
                            <m:r>
                              <a:rPr lang="es-PE" sz="1100" b="0" i="1">
                                <a:latin typeface="Cambria Math"/>
                                <a:ea typeface="Cambria Math"/>
                              </a:rPr>
                              <m:t>𝑐</m:t>
                            </m:r>
                          </m:den>
                        </m:f>
                      </m:e>
                    </m:d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4" name="13 CuadroTexto"/>
            <xdr:cNvSpPr txBox="1"/>
          </xdr:nvSpPr>
          <xdr:spPr>
            <a:xfrm>
              <a:off x="276225" y="13077825"/>
              <a:ext cx="2762250" cy="472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s-PE" sz="1100" b="0" i="0">
                  <a:latin typeface="Cambria Math"/>
                </a:rPr>
                <a:t>𝑀_𝑈=</a:t>
              </a:r>
              <a:r>
                <a:rPr lang="es-PE" sz="1100" b="0" i="0">
                  <a:latin typeface="Cambria Math"/>
                  <a:ea typeface="Cambria Math"/>
                </a:rPr>
                <a:t>∅∙𝜌∙𝑏∙𝑑^2∙𝑓𝑦∙(1−0.59∙𝜌∙𝑓𝑦/(𝑓^′ 𝑐))</a:t>
              </a:r>
              <a:endParaRPr lang="es-PE" sz="1100"/>
            </a:p>
          </xdr:txBody>
        </xdr:sp>
      </mc:Fallback>
    </mc:AlternateContent>
    <xdr:clientData/>
  </xdr:oneCellAnchor>
  <xdr:twoCellAnchor>
    <xdr:from>
      <xdr:col>10</xdr:col>
      <xdr:colOff>276225</xdr:colOff>
      <xdr:row>79</xdr:row>
      <xdr:rowOff>85725</xdr:rowOff>
    </xdr:from>
    <xdr:to>
      <xdr:col>11</xdr:col>
      <xdr:colOff>133350</xdr:colOff>
      <xdr:row>79</xdr:row>
      <xdr:rowOff>85725</xdr:rowOff>
    </xdr:to>
    <xdr:cxnSp macro="">
      <xdr:nvCxnSpPr>
        <xdr:cNvPr id="15" name="14 Conector recto de flecha"/>
        <xdr:cNvCxnSpPr/>
      </xdr:nvCxnSpPr>
      <xdr:spPr>
        <a:xfrm>
          <a:off x="4391025" y="13696950"/>
          <a:ext cx="35242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76149</xdr:colOff>
      <xdr:row>95</xdr:row>
      <xdr:rowOff>57150</xdr:rowOff>
    </xdr:from>
    <xdr:to>
      <xdr:col>11</xdr:col>
      <xdr:colOff>390525</xdr:colOff>
      <xdr:row>104</xdr:row>
      <xdr:rowOff>96910</xdr:rowOff>
    </xdr:to>
    <xdr:pic>
      <xdr:nvPicPr>
        <xdr:cNvPr id="16" name="15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299" y="15640050"/>
          <a:ext cx="4257726" cy="1497085"/>
        </a:xfrm>
        <a:prstGeom prst="rect">
          <a:avLst/>
        </a:prstGeom>
      </xdr:spPr>
    </xdr:pic>
    <xdr:clientData/>
  </xdr:twoCellAnchor>
  <xdr:oneCellAnchor>
    <xdr:from>
      <xdr:col>3</xdr:col>
      <xdr:colOff>9525</xdr:colOff>
      <xdr:row>108</xdr:row>
      <xdr:rowOff>123825</xdr:rowOff>
    </xdr:from>
    <xdr:ext cx="752475" cy="4238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16 CuadroTexto"/>
            <xdr:cNvSpPr txBox="1"/>
          </xdr:nvSpPr>
          <xdr:spPr>
            <a:xfrm>
              <a:off x="828675" y="17811750"/>
              <a:ext cx="752475" cy="423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b="0" i="1">
                            <a:latin typeface="Cambria Math"/>
                          </a:rPr>
                          <m:t>𝑉</m:t>
                        </m:r>
                      </m:e>
                      <m:sub>
                        <m:r>
                          <a:rPr lang="es-PE" sz="1100" b="0" i="1">
                            <a:latin typeface="Cambria Math"/>
                          </a:rPr>
                          <m:t>𝑛</m:t>
                        </m:r>
                      </m:sub>
                    </m:sSub>
                    <m:r>
                      <a:rPr lang="es-PE" sz="11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es-PE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PE" sz="1100" b="0" i="1">
                            <a:latin typeface="Cambria Math"/>
                          </a:rPr>
                          <m:t>𝑉𝑢</m:t>
                        </m:r>
                      </m:num>
                      <m:den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∅</m:t>
                        </m:r>
                      </m:den>
                    </m:f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7" name="16 CuadroTexto"/>
            <xdr:cNvSpPr txBox="1"/>
          </xdr:nvSpPr>
          <xdr:spPr>
            <a:xfrm>
              <a:off x="828675" y="17811750"/>
              <a:ext cx="752475" cy="423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s-PE" sz="1100" b="0" i="0">
                  <a:latin typeface="Cambria Math"/>
                </a:rPr>
                <a:t>𝑉_𝑛=𝑉𝑢/</a:t>
              </a:r>
              <a:r>
                <a:rPr lang="es-PE" sz="1100" b="0" i="0">
                  <a:latin typeface="Cambria Math"/>
                  <a:ea typeface="Cambria Math"/>
                </a:rPr>
                <a:t>∅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8</xdr:col>
      <xdr:colOff>352424</xdr:colOff>
      <xdr:row>108</xdr:row>
      <xdr:rowOff>57150</xdr:rowOff>
    </xdr:from>
    <xdr:ext cx="1609725" cy="2973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17 CuadroTexto"/>
            <xdr:cNvSpPr txBox="1"/>
          </xdr:nvSpPr>
          <xdr:spPr>
            <a:xfrm>
              <a:off x="3343274" y="17745075"/>
              <a:ext cx="1609725" cy="297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b="0" i="1">
                            <a:latin typeface="Cambria Math"/>
                          </a:rPr>
                          <m:t>𝑉</m:t>
                        </m:r>
                      </m:e>
                      <m:sub>
                        <m:r>
                          <a:rPr lang="es-PE" sz="1100" b="0" i="1">
                            <a:latin typeface="Cambria Math"/>
                          </a:rPr>
                          <m:t>𝐶</m:t>
                        </m:r>
                      </m:sub>
                    </m:sSub>
                    <m:r>
                      <a:rPr lang="es-PE" sz="1100" b="0" i="1">
                        <a:latin typeface="Cambria Math"/>
                      </a:rPr>
                      <m:t>=0.53</m:t>
                    </m:r>
                    <m:r>
                      <a:rPr lang="es-PE" sz="1100" b="0" i="1">
                        <a:latin typeface="Cambria Math"/>
                        <a:ea typeface="Cambria Math"/>
                      </a:rPr>
                      <m:t>∙</m:t>
                    </m:r>
                    <m:rad>
                      <m:radPr>
                        <m:degHide m:val="on"/>
                        <m:ctrlPr>
                          <a:rPr lang="es-PE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radPr>
                      <m:deg/>
                      <m:e>
                        <m:sSup>
                          <m:sSupPr>
                            <m:ctrlPr>
                              <a:rPr lang="es-PE" sz="11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pPr>
                          <m:e>
                            <m:r>
                              <a:rPr lang="es-PE" sz="1100" b="0" i="1">
                                <a:latin typeface="Cambria Math"/>
                                <a:ea typeface="Cambria Math"/>
                              </a:rPr>
                              <m:t>𝑓</m:t>
                            </m:r>
                          </m:e>
                          <m:sup>
                            <m:r>
                              <a:rPr lang="es-PE" sz="1100" b="0" i="1">
                                <a:latin typeface="Cambria Math"/>
                                <a:ea typeface="Cambria Math"/>
                              </a:rPr>
                              <m:t>′</m:t>
                            </m:r>
                          </m:sup>
                        </m:sSup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𝑐</m:t>
                        </m:r>
                      </m:e>
                    </m:rad>
                    <m:r>
                      <a:rPr lang="es-PE" sz="1100" b="0" i="1">
                        <a:latin typeface="Cambria Math"/>
                        <a:ea typeface="Cambria Math"/>
                      </a:rPr>
                      <m:t>∙</m:t>
                    </m:r>
                    <m:r>
                      <a:rPr lang="es-PE" sz="1100" b="0" i="1">
                        <a:latin typeface="Cambria Math"/>
                        <a:ea typeface="Cambria Math"/>
                      </a:rPr>
                      <m:t>𝑏</m:t>
                    </m:r>
                    <m:r>
                      <a:rPr lang="es-PE" sz="1100" b="0" i="1">
                        <a:latin typeface="Cambria Math"/>
                        <a:ea typeface="Cambria Math"/>
                      </a:rPr>
                      <m:t>∙</m:t>
                    </m:r>
                    <m:r>
                      <a:rPr lang="es-PE" sz="1100" b="0" i="1">
                        <a:latin typeface="Cambria Math"/>
                        <a:ea typeface="Cambria Math"/>
                      </a:rPr>
                      <m:t>𝑑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8" name="17 CuadroTexto"/>
            <xdr:cNvSpPr txBox="1"/>
          </xdr:nvSpPr>
          <xdr:spPr>
            <a:xfrm>
              <a:off x="3343274" y="17745075"/>
              <a:ext cx="1609725" cy="297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s-PE" sz="1100" b="0" i="0">
                  <a:latin typeface="Cambria Math"/>
                </a:rPr>
                <a:t>𝑉_𝐶=0.53</a:t>
              </a:r>
              <a:r>
                <a:rPr lang="es-PE" sz="1100" b="0" i="0">
                  <a:latin typeface="Cambria Math"/>
                  <a:ea typeface="Cambria Math"/>
                </a:rPr>
                <a:t>∙√(𝑓^′ 𝑐)∙𝑏∙𝑑</a:t>
              </a:r>
              <a:endParaRPr lang="es-PE" sz="1100"/>
            </a:p>
          </xdr:txBody>
        </xdr:sp>
      </mc:Fallback>
    </mc:AlternateContent>
    <xdr:clientData/>
  </xdr:oneCellAnchor>
  <xdr:twoCellAnchor editAs="oneCell">
    <xdr:from>
      <xdr:col>0</xdr:col>
      <xdr:colOff>123824</xdr:colOff>
      <xdr:row>120</xdr:row>
      <xdr:rowOff>29167</xdr:rowOff>
    </xdr:from>
    <xdr:to>
      <xdr:col>13</xdr:col>
      <xdr:colOff>171449</xdr:colOff>
      <xdr:row>135</xdr:row>
      <xdr:rowOff>78988</xdr:rowOff>
    </xdr:to>
    <xdr:pic>
      <xdr:nvPicPr>
        <xdr:cNvPr id="19" name="18 Imagen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4" y="19831642"/>
          <a:ext cx="5838825" cy="2478696"/>
        </a:xfrm>
        <a:prstGeom prst="rect">
          <a:avLst/>
        </a:prstGeom>
      </xdr:spPr>
    </xdr:pic>
    <xdr:clientData/>
  </xdr:twoCellAnchor>
  <xdr:oneCellAnchor>
    <xdr:from>
      <xdr:col>2</xdr:col>
      <xdr:colOff>114299</xdr:colOff>
      <xdr:row>135</xdr:row>
      <xdr:rowOff>95250</xdr:rowOff>
    </xdr:from>
    <xdr:ext cx="5476876" cy="472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19 CuadroTexto"/>
            <xdr:cNvSpPr txBox="1"/>
          </xdr:nvSpPr>
          <xdr:spPr>
            <a:xfrm>
              <a:off x="485774" y="22155150"/>
              <a:ext cx="5476876" cy="472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b="0" i="1">
                            <a:latin typeface="Cambria Math"/>
                          </a:rPr>
                          <m:t>𝑉</m:t>
                        </m:r>
                      </m:e>
                      <m:sub>
                        <m:r>
                          <a:rPr lang="es-PE" sz="1100" b="0" i="1">
                            <a:latin typeface="Cambria Math"/>
                          </a:rPr>
                          <m:t>𝑈</m:t>
                        </m:r>
                        <m:r>
                          <a:rPr lang="es-PE" sz="11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es-PE" sz="1100" b="0" i="1">
                        <a:latin typeface="Cambria Math"/>
                      </a:rPr>
                      <m:t>=</m:t>
                    </m:r>
                    <m:sSub>
                      <m:sSubPr>
                        <m:ctrlPr>
                          <a:rPr lang="es-PE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es-PE" sz="1100" b="0" i="1">
                            <a:latin typeface="Cambria Math"/>
                          </a:rPr>
                          <m:t>1</m:t>
                        </m:r>
                        <m:r>
                          <a:rPr lang="es-PE" sz="1100" b="0" i="1">
                            <a:latin typeface="Cambria Math"/>
                          </a:rPr>
                          <m:t>𝑈</m:t>
                        </m:r>
                      </m:sub>
                    </m:sSub>
                    <m:r>
                      <a:rPr lang="es-PE" sz="1100" b="0" i="1">
                        <a:latin typeface="Cambria Math"/>
                      </a:rPr>
                      <m:t>−</m:t>
                    </m:r>
                    <m:sSub>
                      <m:sSubPr>
                        <m:ctrlPr>
                          <a:rPr lang="es-PE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b="0" i="1">
                            <a:latin typeface="Cambria Math"/>
                          </a:rPr>
                          <m:t>𝑊</m:t>
                        </m:r>
                      </m:e>
                      <m:sub>
                        <m:r>
                          <a:rPr lang="es-PE" sz="1100" b="0" i="1">
                            <a:latin typeface="Cambria Math"/>
                          </a:rPr>
                          <m:t>𝑛𝑢</m:t>
                        </m:r>
                      </m:sub>
                    </m:sSub>
                    <m:r>
                      <a:rPr lang="es-PE" sz="1100" b="0" i="1">
                        <a:latin typeface="Cambria Math"/>
                        <a:ea typeface="Cambria Math"/>
                      </a:rPr>
                      <m:t>∙</m:t>
                    </m:r>
                    <m:d>
                      <m:dPr>
                        <m:ctrlPr>
                          <a:rPr lang="es-PE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PE" sz="11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a:rPr lang="es-PE" sz="1100" b="0" i="1">
                                <a:latin typeface="Cambria Math"/>
                                <a:ea typeface="Cambria Math"/>
                              </a:rPr>
                              <m:t>𝑡</m:t>
                            </m:r>
                          </m:e>
                          <m:sub>
                            <m:r>
                              <a:rPr lang="es-PE" sz="1100" b="0" i="1">
                                <a:latin typeface="Cambria Math"/>
                                <a:ea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+</m:t>
                        </m:r>
                        <m:f>
                          <m:fPr>
                            <m:ctrlPr>
                              <a:rPr lang="es-PE" sz="11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fPr>
                          <m:num>
                            <m:r>
                              <a:rPr lang="es-PE" sz="1100" b="0" i="1">
                                <a:latin typeface="Cambria Math"/>
                                <a:ea typeface="Cambria Math"/>
                              </a:rPr>
                              <m:t>𝑑</m:t>
                            </m:r>
                          </m:num>
                          <m:den>
                            <m:r>
                              <a:rPr lang="es-PE" sz="1100" b="0" i="1">
                                <a:latin typeface="Cambria Math"/>
                                <a:ea typeface="Cambria Math"/>
                              </a:rPr>
                              <m:t>2</m:t>
                            </m:r>
                          </m:den>
                        </m:f>
                      </m:e>
                    </m:d>
                    <m:r>
                      <a:rPr lang="es-PE" sz="1100" b="0" i="1">
                        <a:latin typeface="Cambria Math"/>
                        <a:ea typeface="Cambria Math"/>
                      </a:rPr>
                      <m:t>∙</m:t>
                    </m:r>
                    <m:d>
                      <m:dPr>
                        <m:ctrlPr>
                          <a:rPr lang="es-PE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PE" sz="11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a:rPr lang="es-PE" sz="1100" b="0" i="1">
                                <a:latin typeface="Cambria Math"/>
                                <a:ea typeface="Cambria Math"/>
                              </a:rPr>
                              <m:t>𝑡</m:t>
                            </m:r>
                          </m:e>
                          <m:sub>
                            <m:r>
                              <a:rPr lang="es-PE" sz="1100" b="0" i="1">
                                <a:latin typeface="Cambria Math"/>
                                <a:ea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+</m:t>
                        </m:r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𝑑</m:t>
                        </m:r>
                      </m:e>
                    </m:d>
                    <m:r>
                      <a:rPr lang="es-PE" sz="1100" b="0" i="0">
                        <a:latin typeface="Cambria Math"/>
                        <a:ea typeface="Cambria Math"/>
                      </a:rPr>
                      <m:t>          </m:t>
                    </m:r>
                    <m:r>
                      <m:rPr>
                        <m:sty m:val="p"/>
                      </m:rPr>
                      <a:rPr lang="el-GR" sz="1100" b="0" i="1">
                        <a:latin typeface="Cambria Math"/>
                        <a:ea typeface="Cambria Math"/>
                      </a:rPr>
                      <m:t>Λ</m:t>
                    </m:r>
                    <m:r>
                      <a:rPr lang="es-PE" sz="1100" b="0" i="0">
                        <a:latin typeface="Cambria Math"/>
                        <a:ea typeface="Cambria Math"/>
                      </a:rPr>
                      <m:t>        </m:t>
                    </m:r>
                    <m:sSub>
                      <m:sSubPr>
                        <m:ctrlPr>
                          <a:rPr lang="es-PE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𝑉</m:t>
                        </m:r>
                      </m:e>
                      <m:sub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𝑈</m:t>
                        </m:r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2</m:t>
                        </m:r>
                      </m:sub>
                    </m:sSub>
                    <m:r>
                      <a:rPr lang="es-PE" sz="1100" b="0" i="1">
                        <a:latin typeface="Cambria Math"/>
                        <a:ea typeface="Cambria Math"/>
                      </a:rPr>
                      <m:t>=</m:t>
                    </m:r>
                    <m:sSub>
                      <m:sSubPr>
                        <m:ctrlPr>
                          <a:rPr lang="es-PE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𝑃</m:t>
                        </m:r>
                      </m:e>
                      <m:sub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𝑈</m:t>
                        </m:r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2</m:t>
                        </m:r>
                      </m:sub>
                    </m:sSub>
                    <m:r>
                      <a:rPr lang="es-PE" sz="1100" b="0" i="1">
                        <a:latin typeface="Cambria Math"/>
                        <a:ea typeface="Cambria Math"/>
                      </a:rPr>
                      <m:t>−</m:t>
                    </m:r>
                    <m:sSub>
                      <m:sSubPr>
                        <m:ctrlPr>
                          <a:rPr lang="es-PE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𝑊</m:t>
                        </m:r>
                      </m:e>
                      <m:sub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𝑛𝑢</m:t>
                        </m:r>
                      </m:sub>
                    </m:sSub>
                    <m:r>
                      <a:rPr lang="es-PE" sz="1100" b="0" i="1">
                        <a:latin typeface="Cambria Math"/>
                        <a:ea typeface="Cambria Math"/>
                      </a:rPr>
                      <m:t>∙</m:t>
                    </m:r>
                    <m:d>
                      <m:dPr>
                        <m:ctrlPr>
                          <a:rPr lang="es-PE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PE" sz="11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a:rPr lang="es-PE" sz="1100" b="0" i="1">
                                <a:latin typeface="Cambria Math"/>
                                <a:ea typeface="Cambria Math"/>
                              </a:rPr>
                              <m:t>𝑡</m:t>
                            </m:r>
                          </m:e>
                          <m:sub>
                            <m:r>
                              <a:rPr lang="es-PE" sz="1100" b="0" i="1">
                                <a:latin typeface="Cambria Math"/>
                                <a:ea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+</m:t>
                        </m:r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𝑑</m:t>
                        </m:r>
                      </m:e>
                    </m:d>
                    <m:r>
                      <a:rPr lang="es-PE" sz="1100" b="0" i="1">
                        <a:latin typeface="Cambria Math"/>
                        <a:ea typeface="Cambria Math"/>
                      </a:rPr>
                      <m:t>∙</m:t>
                    </m:r>
                    <m:d>
                      <m:dPr>
                        <m:ctrlPr>
                          <a:rPr lang="es-PE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PE" sz="11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a:rPr lang="es-PE" sz="1100" b="0" i="1">
                                <a:latin typeface="Cambria Math"/>
                                <a:ea typeface="Cambria Math"/>
                              </a:rPr>
                              <m:t>𝑡</m:t>
                            </m:r>
                          </m:e>
                          <m:sub>
                            <m:r>
                              <a:rPr lang="es-PE" sz="1100" b="0" i="1">
                                <a:latin typeface="Cambria Math"/>
                                <a:ea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+</m:t>
                        </m:r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𝑑</m:t>
                        </m:r>
                      </m:e>
                    </m:d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0" name="19 CuadroTexto"/>
            <xdr:cNvSpPr txBox="1"/>
          </xdr:nvSpPr>
          <xdr:spPr>
            <a:xfrm>
              <a:off x="485774" y="22155150"/>
              <a:ext cx="5476876" cy="472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s-PE" sz="1100" b="0" i="0">
                  <a:latin typeface="Cambria Math"/>
                </a:rPr>
                <a:t>𝑉_𝑈1=𝑃_1𝑈−𝑊_𝑛𝑢</a:t>
              </a:r>
              <a:r>
                <a:rPr lang="es-PE" sz="1100" b="0" i="0">
                  <a:latin typeface="Cambria Math"/>
                  <a:ea typeface="Cambria Math"/>
                </a:rPr>
                <a:t>∙(𝑡_1+𝑑/2)∙(𝑡_2+𝑑)           </a:t>
              </a:r>
              <a:r>
                <a:rPr lang="el-GR" sz="1100" b="0" i="0">
                  <a:latin typeface="Cambria Math"/>
                  <a:ea typeface="Cambria Math"/>
                </a:rPr>
                <a:t>Λ</a:t>
              </a:r>
              <a:r>
                <a:rPr lang="es-PE" sz="1100" b="0" i="0">
                  <a:latin typeface="Cambria Math"/>
                  <a:ea typeface="Cambria Math"/>
                </a:rPr>
                <a:t>        𝑉_𝑈2=𝑃_𝑈2−𝑊_𝑛𝑢∙(𝑡_1+𝑑)∙(𝑡_2+𝑑)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2</xdr:col>
      <xdr:colOff>180975</xdr:colOff>
      <xdr:row>142</xdr:row>
      <xdr:rowOff>95250</xdr:rowOff>
    </xdr:from>
    <xdr:ext cx="628650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20 CuadroTexto"/>
            <xdr:cNvSpPr txBox="1"/>
          </xdr:nvSpPr>
          <xdr:spPr>
            <a:xfrm>
              <a:off x="552450" y="23288625"/>
              <a:ext cx="62865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b="0" i="1">
                            <a:latin typeface="Cambria Math"/>
                          </a:rPr>
                          <m:t>𝑉</m:t>
                        </m:r>
                      </m:e>
                      <m:sub>
                        <m:r>
                          <a:rPr lang="es-PE" sz="1100" b="0" i="1">
                            <a:latin typeface="Cambria Math"/>
                          </a:rPr>
                          <m:t>𝐶</m:t>
                        </m:r>
                      </m:sub>
                    </m:sSub>
                    <m:r>
                      <a:rPr lang="es-PE" sz="1100" b="0" i="1">
                        <a:latin typeface="Cambria Math"/>
                        <a:ea typeface="Cambria Math"/>
                      </a:rPr>
                      <m:t>≤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1" name="20 CuadroTexto"/>
            <xdr:cNvSpPr txBox="1"/>
          </xdr:nvSpPr>
          <xdr:spPr>
            <a:xfrm>
              <a:off x="552450" y="23288625"/>
              <a:ext cx="62865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s-PE" sz="1100" b="0" i="0">
                  <a:latin typeface="Cambria Math"/>
                </a:rPr>
                <a:t>𝑉_𝐶</a:t>
              </a:r>
              <a:r>
                <a:rPr lang="es-PE" sz="1100" b="0" i="0">
                  <a:latin typeface="Cambria Math"/>
                  <a:ea typeface="Cambria Math"/>
                </a:rPr>
                <a:t>≤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3</xdr:col>
      <xdr:colOff>342899</xdr:colOff>
      <xdr:row>139</xdr:row>
      <xdr:rowOff>28575</xdr:rowOff>
    </xdr:from>
    <xdr:ext cx="2000251" cy="472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21 CuadroTexto"/>
            <xdr:cNvSpPr txBox="1"/>
          </xdr:nvSpPr>
          <xdr:spPr>
            <a:xfrm>
              <a:off x="1162049" y="22736175"/>
              <a:ext cx="2000251" cy="472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 b="0" i="1">
                        <a:latin typeface="Cambria Math"/>
                      </a:rPr>
                      <m:t>0.27</m:t>
                    </m:r>
                    <m:r>
                      <a:rPr lang="es-PE" sz="1100" b="0" i="1">
                        <a:latin typeface="Cambria Math"/>
                        <a:ea typeface="Cambria Math"/>
                      </a:rPr>
                      <m:t>∙</m:t>
                    </m:r>
                    <m:d>
                      <m:dPr>
                        <m:ctrlPr>
                          <a:rPr lang="es-PE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dPr>
                      <m:e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2+</m:t>
                        </m:r>
                        <m:f>
                          <m:fPr>
                            <m:ctrlPr>
                              <a:rPr lang="es-PE" sz="11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fPr>
                          <m:num>
                            <m:r>
                              <a:rPr lang="es-PE" sz="1100" b="0" i="1">
                                <a:latin typeface="Cambria Math"/>
                                <a:ea typeface="Cambria Math"/>
                              </a:rPr>
                              <m:t>4</m:t>
                            </m:r>
                          </m:num>
                          <m:den>
                            <m:r>
                              <a:rPr lang="es-PE" sz="1100" b="0" i="1">
                                <a:latin typeface="Cambria Math"/>
                                <a:ea typeface="Cambria Math"/>
                              </a:rPr>
                              <m:t>𝛽</m:t>
                            </m:r>
                          </m:den>
                        </m:f>
                      </m:e>
                    </m:d>
                    <m:r>
                      <a:rPr lang="es-PE" sz="1100" b="0" i="1">
                        <a:latin typeface="Cambria Math"/>
                        <a:ea typeface="Cambria Math"/>
                      </a:rPr>
                      <m:t>∙</m:t>
                    </m:r>
                    <m:rad>
                      <m:radPr>
                        <m:degHide m:val="on"/>
                        <m:ctrlPr>
                          <a:rPr lang="es-PE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radPr>
                      <m:deg/>
                      <m:e>
                        <m:sSup>
                          <m:sSupPr>
                            <m:ctrlPr>
                              <a:rPr lang="es-PE" sz="11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pPr>
                          <m:e>
                            <m:r>
                              <a:rPr lang="es-PE" sz="1100" b="0" i="1">
                                <a:latin typeface="Cambria Math"/>
                                <a:ea typeface="Cambria Math"/>
                              </a:rPr>
                              <m:t>𝑓</m:t>
                            </m:r>
                          </m:e>
                          <m:sup>
                            <m:r>
                              <a:rPr lang="es-PE" sz="1100" b="0" i="1">
                                <a:latin typeface="Cambria Math"/>
                                <a:ea typeface="Cambria Math"/>
                              </a:rPr>
                              <m:t>′</m:t>
                            </m:r>
                          </m:sup>
                        </m:sSup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𝑐</m:t>
                        </m:r>
                      </m:e>
                    </m:rad>
                    <m:r>
                      <a:rPr lang="es-PE" sz="1100" b="0" i="1">
                        <a:latin typeface="Cambria Math"/>
                        <a:ea typeface="Cambria Math"/>
                      </a:rPr>
                      <m:t>∙</m:t>
                    </m:r>
                    <m:sSub>
                      <m:sSubPr>
                        <m:ctrlPr>
                          <a:rPr lang="es-PE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𝑏</m:t>
                        </m:r>
                      </m:e>
                      <m:sub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𝑜</m:t>
                        </m:r>
                      </m:sub>
                    </m:sSub>
                    <m:r>
                      <a:rPr lang="es-PE" sz="1100" b="0" i="1">
                        <a:latin typeface="Cambria Math"/>
                        <a:ea typeface="Cambria Math"/>
                      </a:rPr>
                      <m:t>∙</m:t>
                    </m:r>
                    <m:r>
                      <a:rPr lang="es-PE" sz="1100" b="0" i="1">
                        <a:latin typeface="Cambria Math"/>
                        <a:ea typeface="Cambria Math"/>
                      </a:rPr>
                      <m:t>𝑑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2" name="21 CuadroTexto"/>
            <xdr:cNvSpPr txBox="1"/>
          </xdr:nvSpPr>
          <xdr:spPr>
            <a:xfrm>
              <a:off x="1162049" y="22736175"/>
              <a:ext cx="2000251" cy="472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s-PE" sz="1100" b="0" i="0">
                  <a:latin typeface="Cambria Math"/>
                </a:rPr>
                <a:t>0.27</a:t>
              </a:r>
              <a:r>
                <a:rPr lang="es-PE" sz="1100" b="0" i="0">
                  <a:latin typeface="Cambria Math"/>
                  <a:ea typeface="Cambria Math"/>
                </a:rPr>
                <a:t>∙(2+4/𝛽)∙√(𝑓^′ 𝑐)∙𝑏_𝑜∙𝑑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3</xdr:col>
      <xdr:colOff>361949</xdr:colOff>
      <xdr:row>142</xdr:row>
      <xdr:rowOff>19050</xdr:rowOff>
    </xdr:from>
    <xdr:ext cx="2181226" cy="472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24 CuadroTexto"/>
            <xdr:cNvSpPr txBox="1"/>
          </xdr:nvSpPr>
          <xdr:spPr>
            <a:xfrm>
              <a:off x="1181099" y="23212425"/>
              <a:ext cx="2181226" cy="472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 b="0" i="1">
                        <a:latin typeface="Cambria Math"/>
                      </a:rPr>
                      <m:t>0.27</m:t>
                    </m:r>
                    <m:r>
                      <a:rPr lang="es-PE" sz="1100" b="0" i="1">
                        <a:latin typeface="Cambria Math"/>
                        <a:ea typeface="Cambria Math"/>
                      </a:rPr>
                      <m:t>∙</m:t>
                    </m:r>
                    <m:d>
                      <m:dPr>
                        <m:ctrlPr>
                          <a:rPr lang="es-PE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s-PE" sz="11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s-PE" sz="1100" b="0" i="1">
                                    <a:latin typeface="Cambria Math" panose="02040503050406030204" pitchFamily="18" charset="0"/>
                                    <a:ea typeface="Cambria Math"/>
                                  </a:rPr>
                                </m:ctrlPr>
                              </m:sSubPr>
                              <m:e>
                                <m:r>
                                  <a:rPr lang="es-PE" sz="1100" b="0" i="1">
                                    <a:latin typeface="Cambria Math"/>
                                    <a:ea typeface="Cambria Math"/>
                                  </a:rPr>
                                  <m:t>𝛼</m:t>
                                </m:r>
                              </m:e>
                              <m:sub>
                                <m:r>
                                  <a:rPr lang="es-PE" sz="1100" b="0" i="1">
                                    <a:latin typeface="Cambria Math"/>
                                    <a:ea typeface="Cambria Math"/>
                                  </a:rPr>
                                  <m:t>𝑠</m:t>
                                </m:r>
                              </m:sub>
                            </m:sSub>
                            <m:r>
                              <a:rPr lang="es-PE" sz="1100" b="0" i="1">
                                <a:latin typeface="Cambria Math"/>
                                <a:ea typeface="Cambria Math"/>
                              </a:rPr>
                              <m:t>∙</m:t>
                            </m:r>
                            <m:r>
                              <a:rPr lang="es-PE" sz="1100" b="0" i="1">
                                <a:latin typeface="Cambria Math"/>
                                <a:ea typeface="Cambria Math"/>
                              </a:rPr>
                              <m:t>𝑑</m:t>
                            </m:r>
                          </m:num>
                          <m:den>
                            <m:sSub>
                              <m:sSubPr>
                                <m:ctrlPr>
                                  <a:rPr lang="es-PE" sz="1100" b="0" i="1">
                                    <a:latin typeface="Cambria Math" panose="02040503050406030204" pitchFamily="18" charset="0"/>
                                    <a:ea typeface="Cambria Math"/>
                                  </a:rPr>
                                </m:ctrlPr>
                              </m:sSubPr>
                              <m:e>
                                <m:r>
                                  <a:rPr lang="es-PE" sz="1100" b="0" i="1">
                                    <a:latin typeface="Cambria Math"/>
                                    <a:ea typeface="Cambria Math"/>
                                  </a:rPr>
                                  <m:t>𝑏</m:t>
                                </m:r>
                              </m:e>
                              <m:sub>
                                <m:r>
                                  <a:rPr lang="es-PE" sz="1100" b="0" i="1">
                                    <a:latin typeface="Cambria Math"/>
                                    <a:ea typeface="Cambria Math"/>
                                  </a:rPr>
                                  <m:t>𝑜</m:t>
                                </m:r>
                              </m:sub>
                            </m:sSub>
                          </m:den>
                        </m:f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+2</m:t>
                        </m:r>
                      </m:e>
                    </m:d>
                    <m:r>
                      <a:rPr lang="es-PE" sz="1100" b="0" i="1">
                        <a:latin typeface="Cambria Math"/>
                        <a:ea typeface="Cambria Math"/>
                      </a:rPr>
                      <m:t>∙</m:t>
                    </m:r>
                    <m:rad>
                      <m:radPr>
                        <m:degHide m:val="on"/>
                        <m:ctrlPr>
                          <a:rPr lang="es-PE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radPr>
                      <m:deg/>
                      <m:e>
                        <m:sSup>
                          <m:sSupPr>
                            <m:ctrlPr>
                              <a:rPr lang="es-PE" sz="11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pPr>
                          <m:e>
                            <m:r>
                              <a:rPr lang="es-PE" sz="1100" b="0" i="1">
                                <a:latin typeface="Cambria Math"/>
                                <a:ea typeface="Cambria Math"/>
                              </a:rPr>
                              <m:t>𝑓</m:t>
                            </m:r>
                          </m:e>
                          <m:sup>
                            <m:r>
                              <a:rPr lang="es-PE" sz="1100" b="0" i="1">
                                <a:latin typeface="Cambria Math"/>
                                <a:ea typeface="Cambria Math"/>
                              </a:rPr>
                              <m:t>′</m:t>
                            </m:r>
                          </m:sup>
                        </m:sSup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𝑐</m:t>
                        </m:r>
                      </m:e>
                    </m:rad>
                    <m:r>
                      <a:rPr lang="es-PE" sz="1100" b="0" i="1">
                        <a:latin typeface="Cambria Math"/>
                        <a:ea typeface="Cambria Math"/>
                      </a:rPr>
                      <m:t>∙</m:t>
                    </m:r>
                    <m:sSub>
                      <m:sSubPr>
                        <m:ctrlPr>
                          <a:rPr lang="es-PE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𝑏</m:t>
                        </m:r>
                      </m:e>
                      <m:sub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𝑜</m:t>
                        </m:r>
                      </m:sub>
                    </m:sSub>
                    <m:r>
                      <a:rPr lang="es-PE" sz="1100" b="0" i="1">
                        <a:latin typeface="Cambria Math"/>
                        <a:ea typeface="Cambria Math"/>
                      </a:rPr>
                      <m:t>∙</m:t>
                    </m:r>
                    <m:r>
                      <a:rPr lang="es-PE" sz="1100" b="0" i="1">
                        <a:latin typeface="Cambria Math"/>
                        <a:ea typeface="Cambria Math"/>
                      </a:rPr>
                      <m:t>𝑑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5" name="24 CuadroTexto"/>
            <xdr:cNvSpPr txBox="1"/>
          </xdr:nvSpPr>
          <xdr:spPr>
            <a:xfrm>
              <a:off x="1181099" y="23212425"/>
              <a:ext cx="2181226" cy="472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s-PE" sz="1100" b="0" i="0">
                  <a:latin typeface="Cambria Math"/>
                </a:rPr>
                <a:t>0.27</a:t>
              </a:r>
              <a:r>
                <a:rPr lang="es-PE" sz="1100" b="0" i="0">
                  <a:latin typeface="Cambria Math"/>
                  <a:ea typeface="Cambria Math"/>
                </a:rPr>
                <a:t>∙((𝛼_𝑠∙𝑑)/𝑏_𝑜 +2)∙√(𝑓^′ 𝑐)∙𝑏_𝑜∙𝑑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3</xdr:col>
      <xdr:colOff>380999</xdr:colOff>
      <xdr:row>145</xdr:row>
      <xdr:rowOff>66675</xdr:rowOff>
    </xdr:from>
    <xdr:ext cx="1314451" cy="2973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25 CuadroTexto"/>
            <xdr:cNvSpPr txBox="1"/>
          </xdr:nvSpPr>
          <xdr:spPr>
            <a:xfrm>
              <a:off x="1200149" y="23745825"/>
              <a:ext cx="1314451" cy="297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 b="0" i="1">
                        <a:latin typeface="Cambria Math"/>
                      </a:rPr>
                      <m:t>1.06</m:t>
                    </m:r>
                    <m:r>
                      <a:rPr lang="es-PE" sz="1100" b="0" i="1">
                        <a:latin typeface="Cambria Math"/>
                        <a:ea typeface="Cambria Math"/>
                      </a:rPr>
                      <m:t>∙</m:t>
                    </m:r>
                    <m:rad>
                      <m:radPr>
                        <m:degHide m:val="on"/>
                        <m:ctrlPr>
                          <a:rPr lang="es-PE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radPr>
                      <m:deg/>
                      <m:e>
                        <m:sSup>
                          <m:sSupPr>
                            <m:ctrlPr>
                              <a:rPr lang="es-PE" sz="11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pPr>
                          <m:e>
                            <m:r>
                              <a:rPr lang="es-PE" sz="1100" b="0" i="1">
                                <a:latin typeface="Cambria Math"/>
                                <a:ea typeface="Cambria Math"/>
                              </a:rPr>
                              <m:t>𝑓</m:t>
                            </m:r>
                          </m:e>
                          <m:sup>
                            <m:r>
                              <a:rPr lang="es-PE" sz="1100" b="0" i="1">
                                <a:latin typeface="Cambria Math"/>
                                <a:ea typeface="Cambria Math"/>
                              </a:rPr>
                              <m:t>′</m:t>
                            </m:r>
                          </m:sup>
                        </m:sSup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𝑐</m:t>
                        </m:r>
                      </m:e>
                    </m:rad>
                    <m:r>
                      <a:rPr lang="es-PE" sz="1100" b="0" i="1">
                        <a:latin typeface="Cambria Math"/>
                        <a:ea typeface="Cambria Math"/>
                      </a:rPr>
                      <m:t>∙</m:t>
                    </m:r>
                    <m:sSub>
                      <m:sSubPr>
                        <m:ctrlPr>
                          <a:rPr lang="es-PE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𝑏</m:t>
                        </m:r>
                      </m:e>
                      <m:sub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𝑜</m:t>
                        </m:r>
                      </m:sub>
                    </m:sSub>
                    <m:r>
                      <a:rPr lang="es-PE" sz="1100" b="0" i="1">
                        <a:latin typeface="Cambria Math"/>
                        <a:ea typeface="Cambria Math"/>
                      </a:rPr>
                      <m:t>∙</m:t>
                    </m:r>
                    <m:r>
                      <a:rPr lang="es-PE" sz="1100" b="0" i="1">
                        <a:latin typeface="Cambria Math"/>
                        <a:ea typeface="Cambria Math"/>
                      </a:rPr>
                      <m:t>𝑑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6" name="25 CuadroTexto"/>
            <xdr:cNvSpPr txBox="1"/>
          </xdr:nvSpPr>
          <xdr:spPr>
            <a:xfrm>
              <a:off x="1200149" y="23745825"/>
              <a:ext cx="1314451" cy="297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s-PE" sz="1100" b="0" i="0">
                  <a:latin typeface="Cambria Math"/>
                </a:rPr>
                <a:t>1.06</a:t>
              </a:r>
              <a:r>
                <a:rPr lang="es-PE" sz="1100" b="0" i="0">
                  <a:latin typeface="Cambria Math"/>
                  <a:ea typeface="Cambria Math"/>
                </a:rPr>
                <a:t>∙√(𝑓^′ 𝑐)∙𝑏_𝑜∙𝑑</a:t>
              </a:r>
              <a:endParaRPr lang="es-PE" sz="1100"/>
            </a:p>
          </xdr:txBody>
        </xdr:sp>
      </mc:Fallback>
    </mc:AlternateContent>
    <xdr:clientData/>
  </xdr:oneCellAnchor>
  <xdr:twoCellAnchor>
    <xdr:from>
      <xdr:col>3</xdr:col>
      <xdr:colOff>268606</xdr:colOff>
      <xdr:row>140</xdr:row>
      <xdr:rowOff>9525</xdr:rowOff>
    </xdr:from>
    <xdr:to>
      <xdr:col>3</xdr:col>
      <xdr:colOff>314325</xdr:colOff>
      <xdr:row>146</xdr:row>
      <xdr:rowOff>133350</xdr:rowOff>
    </xdr:to>
    <xdr:sp macro="" textlink="">
      <xdr:nvSpPr>
        <xdr:cNvPr id="27" name="26 Abrir llave"/>
        <xdr:cNvSpPr/>
      </xdr:nvSpPr>
      <xdr:spPr>
        <a:xfrm>
          <a:off x="1087756" y="22879050"/>
          <a:ext cx="45719" cy="10953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6</xdr:col>
      <xdr:colOff>85725</xdr:colOff>
      <xdr:row>105</xdr:row>
      <xdr:rowOff>85725</xdr:rowOff>
    </xdr:from>
    <xdr:to>
      <xdr:col>6</xdr:col>
      <xdr:colOff>438150</xdr:colOff>
      <xdr:row>105</xdr:row>
      <xdr:rowOff>85725</xdr:rowOff>
    </xdr:to>
    <xdr:cxnSp macro="">
      <xdr:nvCxnSpPr>
        <xdr:cNvPr id="28" name="27 Conector recto de flecha"/>
        <xdr:cNvCxnSpPr/>
      </xdr:nvCxnSpPr>
      <xdr:spPr>
        <a:xfrm>
          <a:off x="2276475" y="17287875"/>
          <a:ext cx="35242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76200</xdr:colOff>
      <xdr:row>106</xdr:row>
      <xdr:rowOff>66675</xdr:rowOff>
    </xdr:from>
    <xdr:to>
      <xdr:col>6</xdr:col>
      <xdr:colOff>428625</xdr:colOff>
      <xdr:row>106</xdr:row>
      <xdr:rowOff>66675</xdr:rowOff>
    </xdr:to>
    <xdr:cxnSp macro="">
      <xdr:nvCxnSpPr>
        <xdr:cNvPr id="29" name="28 Conector recto de flecha"/>
        <xdr:cNvCxnSpPr/>
      </xdr:nvCxnSpPr>
      <xdr:spPr>
        <a:xfrm>
          <a:off x="2266950" y="17430750"/>
          <a:ext cx="35242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107</xdr:row>
      <xdr:rowOff>76200</xdr:rowOff>
    </xdr:from>
    <xdr:to>
      <xdr:col>6</xdr:col>
      <xdr:colOff>419100</xdr:colOff>
      <xdr:row>107</xdr:row>
      <xdr:rowOff>76200</xdr:rowOff>
    </xdr:to>
    <xdr:cxnSp macro="">
      <xdr:nvCxnSpPr>
        <xdr:cNvPr id="30" name="29 Conector recto de flecha"/>
        <xdr:cNvCxnSpPr/>
      </xdr:nvCxnSpPr>
      <xdr:spPr>
        <a:xfrm>
          <a:off x="2257425" y="17602200"/>
          <a:ext cx="35242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</xdr:colOff>
      <xdr:row>151</xdr:row>
      <xdr:rowOff>0</xdr:rowOff>
    </xdr:from>
    <xdr:to>
      <xdr:col>8</xdr:col>
      <xdr:colOff>142875</xdr:colOff>
      <xdr:row>154</xdr:row>
      <xdr:rowOff>28575</xdr:rowOff>
    </xdr:to>
    <xdr:sp macro="" textlink="">
      <xdr:nvSpPr>
        <xdr:cNvPr id="34" name="33 Cerrar llave"/>
        <xdr:cNvSpPr/>
      </xdr:nvSpPr>
      <xdr:spPr>
        <a:xfrm>
          <a:off x="3028950" y="25136475"/>
          <a:ext cx="104775" cy="51435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8</xdr:col>
      <xdr:colOff>190500</xdr:colOff>
      <xdr:row>149</xdr:row>
      <xdr:rowOff>85725</xdr:rowOff>
    </xdr:from>
    <xdr:to>
      <xdr:col>8</xdr:col>
      <xdr:colOff>457200</xdr:colOff>
      <xdr:row>149</xdr:row>
      <xdr:rowOff>85725</xdr:rowOff>
    </xdr:to>
    <xdr:cxnSp macro="">
      <xdr:nvCxnSpPr>
        <xdr:cNvPr id="40" name="39 Conector recto de flecha"/>
        <xdr:cNvCxnSpPr/>
      </xdr:nvCxnSpPr>
      <xdr:spPr>
        <a:xfrm>
          <a:off x="3181350" y="24898350"/>
          <a:ext cx="26670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</xdr:colOff>
      <xdr:row>160</xdr:row>
      <xdr:rowOff>0</xdr:rowOff>
    </xdr:from>
    <xdr:to>
      <xdr:col>8</xdr:col>
      <xdr:colOff>142875</xdr:colOff>
      <xdr:row>163</xdr:row>
      <xdr:rowOff>28575</xdr:rowOff>
    </xdr:to>
    <xdr:sp macro="" textlink="">
      <xdr:nvSpPr>
        <xdr:cNvPr id="41" name="40 Cerrar llave"/>
        <xdr:cNvSpPr/>
      </xdr:nvSpPr>
      <xdr:spPr>
        <a:xfrm>
          <a:off x="3028950" y="24650700"/>
          <a:ext cx="104775" cy="51435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11</xdr:col>
      <xdr:colOff>123825</xdr:colOff>
      <xdr:row>186</xdr:row>
      <xdr:rowOff>76200</xdr:rowOff>
    </xdr:from>
    <xdr:to>
      <xdr:col>11</xdr:col>
      <xdr:colOff>272653</xdr:colOff>
      <xdr:row>186</xdr:row>
      <xdr:rowOff>76200</xdr:rowOff>
    </xdr:to>
    <xdr:cxnSp macro="">
      <xdr:nvCxnSpPr>
        <xdr:cNvPr id="42" name="41 Conector recto de flecha"/>
        <xdr:cNvCxnSpPr/>
      </xdr:nvCxnSpPr>
      <xdr:spPr>
        <a:xfrm>
          <a:off x="5267325" y="30403800"/>
          <a:ext cx="148828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4</xdr:col>
      <xdr:colOff>238124</xdr:colOff>
      <xdr:row>179</xdr:row>
      <xdr:rowOff>19050</xdr:rowOff>
    </xdr:from>
    <xdr:ext cx="4552951" cy="48917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42 CuadroTexto"/>
            <xdr:cNvSpPr txBox="1"/>
          </xdr:nvSpPr>
          <xdr:spPr>
            <a:xfrm>
              <a:off x="1857374" y="29213175"/>
              <a:ext cx="4552951" cy="4891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 i="1">
                        <a:latin typeface="Cambria Math"/>
                        <a:ea typeface="Cambria Math"/>
                      </a:rPr>
                      <m:t>𝜌</m:t>
                    </m:r>
                    <m:r>
                      <a:rPr lang="es-PE" sz="1100" b="0" i="1">
                        <a:latin typeface="Cambria Math"/>
                        <a:ea typeface="Cambria Math"/>
                      </a:rPr>
                      <m:t>=</m:t>
                    </m:r>
                    <m:f>
                      <m:fPr>
                        <m:ctrlPr>
                          <a:rPr lang="es-PE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fPr>
                      <m:num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100∙∅∙</m:t>
                        </m:r>
                        <m:sSup>
                          <m:sSupPr>
                            <m:ctrlPr>
                              <a:rPr lang="es-PE" sz="11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pPr>
                          <m:e>
                            <m:r>
                              <a:rPr lang="es-PE" sz="1100" b="0" i="1">
                                <a:latin typeface="Cambria Math"/>
                                <a:ea typeface="Cambria Math"/>
                              </a:rPr>
                              <m:t>𝑓</m:t>
                            </m:r>
                          </m:e>
                          <m:sup>
                            <m:r>
                              <a:rPr lang="es-PE" sz="1100" b="0" i="1">
                                <a:latin typeface="Cambria Math"/>
                                <a:ea typeface="Cambria Math"/>
                              </a:rPr>
                              <m:t>′</m:t>
                            </m:r>
                          </m:sup>
                        </m:sSup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𝑐</m:t>
                        </m:r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∙</m:t>
                        </m:r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𝑓𝑦</m:t>
                        </m:r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−</m:t>
                        </m:r>
                        <m:rad>
                          <m:radPr>
                            <m:degHide m:val="on"/>
                            <m:ctrlPr>
                              <a:rPr lang="es-PE" sz="11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radPr>
                          <m:deg/>
                          <m:e>
                            <m:sSup>
                              <m:sSupPr>
                                <m:ctrlPr>
                                  <a:rPr lang="es-PE" sz="1100" b="0" i="1">
                                    <a:latin typeface="Cambria Math" panose="02040503050406030204" pitchFamily="18" charset="0"/>
                                    <a:ea typeface="Cambria Math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ctrlPr>
                                      <a:rPr lang="es-PE" sz="1100" b="0" i="1">
                                        <a:latin typeface="Cambria Math" panose="02040503050406030204" pitchFamily="18" charset="0"/>
                                        <a:ea typeface="Cambria Math"/>
                                      </a:rPr>
                                    </m:ctrlPr>
                                  </m:dPr>
                                  <m:e>
                                    <m:r>
                                      <a:rPr lang="es-PE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100∙∅∙</m:t>
                                    </m:r>
                                    <m:sSup>
                                      <m:sSupPr>
                                        <m:ctrlPr>
                                          <a:rPr lang="es-PE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pPr>
                                      <m:e>
                                        <m:r>
                                          <a:rPr lang="es-PE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𝑓</m:t>
                                        </m:r>
                                      </m:e>
                                      <m:sup>
                                        <m:r>
                                          <a:rPr lang="es-PE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′</m:t>
                                        </m:r>
                                      </m:sup>
                                    </m:sSup>
                                    <m:r>
                                      <a:rPr lang="es-PE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𝑐</m:t>
                                    </m:r>
                                    <m:r>
                                      <a:rPr lang="es-PE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∙</m:t>
                                    </m:r>
                                    <m:r>
                                      <a:rPr lang="es-PE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𝑓𝑦</m:t>
                                    </m:r>
                                  </m:e>
                                </m:d>
                              </m:e>
                              <m:sup>
                                <m:r>
                                  <a:rPr lang="es-PE" sz="1100" b="0" i="1">
                                    <a:latin typeface="Cambria Math"/>
                                    <a:ea typeface="Cambria Math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lang="es-PE" sz="1100" b="0" i="1">
                                <a:latin typeface="Cambria Math"/>
                                <a:ea typeface="Cambria Math"/>
                              </a:rPr>
                              <m:t>−23600∙∅∙</m:t>
                            </m:r>
                            <m:sSub>
                              <m:sSubPr>
                                <m:ctrlPr>
                                  <a:rPr lang="es-PE" sz="1100" b="0" i="1">
                                    <a:latin typeface="Cambria Math" panose="02040503050406030204" pitchFamily="18" charset="0"/>
                                    <a:ea typeface="Cambria Math"/>
                                  </a:rPr>
                                </m:ctrlPr>
                              </m:sSubPr>
                              <m:e>
                                <m:r>
                                  <a:rPr lang="es-PE" sz="1100" b="0" i="1">
                                    <a:latin typeface="Cambria Math"/>
                                    <a:ea typeface="Cambria Math"/>
                                  </a:rPr>
                                  <m:t>𝑅</m:t>
                                </m:r>
                              </m:e>
                              <m:sub>
                                <m:r>
                                  <a:rPr lang="es-PE" sz="1100" b="0" i="1">
                                    <a:latin typeface="Cambria Math"/>
                                    <a:ea typeface="Cambria Math"/>
                                  </a:rPr>
                                  <m:t>𝑈</m:t>
                                </m:r>
                              </m:sub>
                            </m:sSub>
                            <m:r>
                              <a:rPr lang="es-PE" sz="1100" b="0" i="1">
                                <a:latin typeface="Cambria Math"/>
                                <a:ea typeface="Cambria Math"/>
                              </a:rPr>
                              <m:t>∙</m:t>
                            </m:r>
                            <m:r>
                              <a:rPr lang="es-PE" sz="1100" b="0" i="1">
                                <a:latin typeface="Cambria Math"/>
                                <a:ea typeface="Cambria Math"/>
                              </a:rPr>
                              <m:t>𝑓</m:t>
                            </m:r>
                            <m:r>
                              <a:rPr lang="es-PE" sz="1100" b="0" i="1">
                                <a:latin typeface="Cambria Math"/>
                                <a:ea typeface="Cambria Math"/>
                              </a:rPr>
                              <m:t>´</m:t>
                            </m:r>
                            <m:r>
                              <a:rPr lang="es-PE" sz="1100" b="0" i="1">
                                <a:latin typeface="Cambria Math"/>
                                <a:ea typeface="Cambria Math"/>
                              </a:rPr>
                              <m:t>𝑐</m:t>
                            </m:r>
                            <m:r>
                              <a:rPr lang="es-PE" sz="1100" b="0" i="1">
                                <a:latin typeface="Cambria Math"/>
                                <a:ea typeface="Cambria Math"/>
                              </a:rPr>
                              <m:t>∙</m:t>
                            </m:r>
                            <m:sSup>
                              <m:sSupPr>
                                <m:ctrlPr>
                                  <a:rPr lang="es-PE" sz="1100" b="0" i="1">
                                    <a:latin typeface="Cambria Math" panose="02040503050406030204" pitchFamily="18" charset="0"/>
                                    <a:ea typeface="Cambria Math"/>
                                  </a:rPr>
                                </m:ctrlPr>
                              </m:sSupPr>
                              <m:e>
                                <m:r>
                                  <a:rPr lang="es-PE" sz="1100" b="0" i="1">
                                    <a:latin typeface="Cambria Math"/>
                                    <a:ea typeface="Cambria Math"/>
                                  </a:rPr>
                                  <m:t>𝑓𝑦</m:t>
                                </m:r>
                              </m:e>
                              <m:sup>
                                <m:r>
                                  <a:rPr lang="es-PE" sz="1100" b="0" i="1">
                                    <a:latin typeface="Cambria Math"/>
                                    <a:ea typeface="Cambria Math"/>
                                  </a:rPr>
                                  <m:t>2</m:t>
                                </m:r>
                              </m:sup>
                            </m:sSup>
                          </m:e>
                        </m:rad>
                      </m:num>
                      <m:den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118∙∅∙</m:t>
                        </m:r>
                        <m:sSup>
                          <m:sSupPr>
                            <m:ctrlPr>
                              <a:rPr lang="es-PE" sz="11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pPr>
                          <m:e>
                            <m:r>
                              <a:rPr lang="es-PE" sz="1100" b="0" i="1">
                                <a:latin typeface="Cambria Math"/>
                                <a:ea typeface="Cambria Math"/>
                              </a:rPr>
                              <m:t>𝑓𝑦</m:t>
                            </m:r>
                          </m:e>
                          <m:sup>
                            <m:r>
                              <a:rPr lang="es-PE" sz="1100" b="0" i="1">
                                <a:latin typeface="Cambria Math"/>
                                <a:ea typeface="Cambria Math"/>
                              </a:rPr>
                              <m:t>2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3" name="42 CuadroTexto"/>
            <xdr:cNvSpPr txBox="1"/>
          </xdr:nvSpPr>
          <xdr:spPr>
            <a:xfrm>
              <a:off x="1857374" y="29213175"/>
              <a:ext cx="4552951" cy="4891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s-PE" sz="1100" i="0">
                  <a:latin typeface="Cambria Math"/>
                  <a:ea typeface="Cambria Math"/>
                </a:rPr>
                <a:t>𝜌</a:t>
              </a:r>
              <a:r>
                <a:rPr lang="es-PE" sz="1100" b="0" i="0">
                  <a:latin typeface="Cambria Math"/>
                  <a:ea typeface="Cambria Math"/>
                </a:rPr>
                <a:t>=(100∙∅∙𝑓^′ 𝑐∙𝑓𝑦−√((</a:t>
              </a:r>
              <a:r>
                <a:rPr lang="es-P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100∙∅∙𝑓^′ 𝑐∙𝑓𝑦)</a:t>
              </a:r>
              <a:r>
                <a:rPr lang="es-PE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^</a:t>
              </a:r>
              <a:r>
                <a:rPr lang="es-PE" sz="1100" b="0" i="0">
                  <a:latin typeface="Cambria Math"/>
                  <a:ea typeface="Cambria Math"/>
                </a:rPr>
                <a:t>2−23600∙∅∙𝑅_𝑈∙𝑓´𝑐∙〖𝑓𝑦〗^2 ))/(118∙∅∙〖𝑓𝑦〗^2 )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2</xdr:col>
      <xdr:colOff>95250</xdr:colOff>
      <xdr:row>179</xdr:row>
      <xdr:rowOff>95250</xdr:rowOff>
    </xdr:from>
    <xdr:ext cx="914400" cy="4195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" name="43 CuadroTexto"/>
            <xdr:cNvSpPr txBox="1"/>
          </xdr:nvSpPr>
          <xdr:spPr>
            <a:xfrm>
              <a:off x="771525" y="29289375"/>
              <a:ext cx="914400" cy="4195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b="0" i="1">
                            <a:latin typeface="Cambria Math"/>
                          </a:rPr>
                          <m:t>𝑅</m:t>
                        </m:r>
                      </m:e>
                      <m:sub>
                        <m:r>
                          <a:rPr lang="es-PE" sz="1100" b="0" i="1">
                            <a:latin typeface="Cambria Math"/>
                          </a:rPr>
                          <m:t>𝑈</m:t>
                        </m:r>
                      </m:sub>
                    </m:sSub>
                    <m:r>
                      <a:rPr lang="es-PE" sz="11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es-PE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PE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PE" sz="1100" b="0" i="1">
                                <a:latin typeface="Cambria Math"/>
                              </a:rPr>
                              <m:t>𝑀</m:t>
                            </m:r>
                          </m:e>
                          <m:sub>
                            <m:r>
                              <a:rPr lang="es-PE" sz="1100" b="0" i="1">
                                <a:latin typeface="Cambria Math"/>
                              </a:rPr>
                              <m:t>𝑈</m:t>
                            </m:r>
                          </m:sub>
                        </m:sSub>
                      </m:num>
                      <m:den>
                        <m:r>
                          <a:rPr lang="es-PE" sz="1100" b="0" i="1">
                            <a:latin typeface="Cambria Math"/>
                          </a:rPr>
                          <m:t>𝑏</m:t>
                        </m:r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∙</m:t>
                        </m:r>
                        <m:sSup>
                          <m:sSupPr>
                            <m:ctrlPr>
                              <a:rPr lang="es-PE" sz="11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pPr>
                          <m:e>
                            <m:r>
                              <a:rPr lang="es-PE" sz="1100" b="0" i="1">
                                <a:latin typeface="Cambria Math"/>
                                <a:ea typeface="Cambria Math"/>
                              </a:rPr>
                              <m:t>𝑑</m:t>
                            </m:r>
                          </m:e>
                          <m:sup>
                            <m:r>
                              <a:rPr lang="es-PE" sz="1100" b="0" i="1">
                                <a:latin typeface="Cambria Math"/>
                                <a:ea typeface="Cambria Math"/>
                              </a:rPr>
                              <m:t>2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4" name="43 CuadroTexto"/>
            <xdr:cNvSpPr txBox="1"/>
          </xdr:nvSpPr>
          <xdr:spPr>
            <a:xfrm>
              <a:off x="771525" y="29289375"/>
              <a:ext cx="914400" cy="4195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es-PE" sz="1100" b="0" i="0">
                  <a:latin typeface="Cambria Math"/>
                </a:rPr>
                <a:t>𝑅_𝑈=𝑀_𝑈/(𝑏</a:t>
              </a:r>
              <a:r>
                <a:rPr lang="es-PE" sz="1100" b="0" i="0">
                  <a:latin typeface="Cambria Math"/>
                  <a:ea typeface="Cambria Math"/>
                </a:rPr>
                <a:t>∙𝑑^2 )</a:t>
              </a:r>
              <a:endParaRPr lang="es-PE" sz="1100"/>
            </a:p>
          </xdr:txBody>
        </xdr:sp>
      </mc:Fallback>
    </mc:AlternateContent>
    <xdr:clientData/>
  </xdr:oneCellAnchor>
  <xdr:twoCellAnchor>
    <xdr:from>
      <xdr:col>11</xdr:col>
      <xdr:colOff>76200</xdr:colOff>
      <xdr:row>193</xdr:row>
      <xdr:rowOff>104775</xdr:rowOff>
    </xdr:from>
    <xdr:to>
      <xdr:col>11</xdr:col>
      <xdr:colOff>244078</xdr:colOff>
      <xdr:row>193</xdr:row>
      <xdr:rowOff>104775</xdr:rowOff>
    </xdr:to>
    <xdr:cxnSp macro="">
      <xdr:nvCxnSpPr>
        <xdr:cNvPr id="45" name="44 Conector recto de flecha"/>
        <xdr:cNvCxnSpPr/>
      </xdr:nvCxnSpPr>
      <xdr:spPr>
        <a:xfrm>
          <a:off x="5219700" y="31565850"/>
          <a:ext cx="167878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219074</xdr:colOff>
      <xdr:row>198</xdr:row>
      <xdr:rowOff>80493</xdr:rowOff>
    </xdr:from>
    <xdr:to>
      <xdr:col>14</xdr:col>
      <xdr:colOff>46614</xdr:colOff>
      <xdr:row>206</xdr:row>
      <xdr:rowOff>105227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124" y="32351193"/>
          <a:ext cx="3247015" cy="1320134"/>
        </a:xfrm>
        <a:prstGeom prst="rect">
          <a:avLst/>
        </a:prstGeom>
      </xdr:spPr>
    </xdr:pic>
    <xdr:clientData/>
  </xdr:twoCellAnchor>
  <xdr:twoCellAnchor>
    <xdr:from>
      <xdr:col>4</xdr:col>
      <xdr:colOff>400050</xdr:colOff>
      <xdr:row>199</xdr:row>
      <xdr:rowOff>85725</xdr:rowOff>
    </xdr:from>
    <xdr:to>
      <xdr:col>5</xdr:col>
      <xdr:colOff>238125</xdr:colOff>
      <xdr:row>199</xdr:row>
      <xdr:rowOff>85725</xdr:rowOff>
    </xdr:to>
    <xdr:cxnSp macro="">
      <xdr:nvCxnSpPr>
        <xdr:cNvPr id="36" name="35 Conector recto de flecha"/>
        <xdr:cNvCxnSpPr/>
      </xdr:nvCxnSpPr>
      <xdr:spPr>
        <a:xfrm>
          <a:off x="1714500" y="33966150"/>
          <a:ext cx="26670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409575</xdr:colOff>
      <xdr:row>200</xdr:row>
      <xdr:rowOff>95250</xdr:rowOff>
    </xdr:from>
    <xdr:to>
      <xdr:col>5</xdr:col>
      <xdr:colOff>247650</xdr:colOff>
      <xdr:row>200</xdr:row>
      <xdr:rowOff>95250</xdr:rowOff>
    </xdr:to>
    <xdr:cxnSp macro="">
      <xdr:nvCxnSpPr>
        <xdr:cNvPr id="37" name="36 Conector recto de flecha"/>
        <xdr:cNvCxnSpPr/>
      </xdr:nvCxnSpPr>
      <xdr:spPr>
        <a:xfrm>
          <a:off x="1724025" y="34137600"/>
          <a:ext cx="26670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9525</xdr:colOff>
      <xdr:row>201</xdr:row>
      <xdr:rowOff>20562</xdr:rowOff>
    </xdr:from>
    <xdr:to>
      <xdr:col>5</xdr:col>
      <xdr:colOff>323850</xdr:colOff>
      <xdr:row>210</xdr:row>
      <xdr:rowOff>48369</xdr:rowOff>
    </xdr:to>
    <xdr:pic>
      <xdr:nvPicPr>
        <xdr:cNvPr id="23" name="22 Imagen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34224837"/>
          <a:ext cx="1285875" cy="1485132"/>
        </a:xfrm>
        <a:prstGeom prst="rect">
          <a:avLst/>
        </a:prstGeom>
      </xdr:spPr>
    </xdr:pic>
    <xdr:clientData/>
  </xdr:twoCellAnchor>
  <xdr:oneCellAnchor>
    <xdr:from>
      <xdr:col>6</xdr:col>
      <xdr:colOff>304799</xdr:colOff>
      <xdr:row>207</xdr:row>
      <xdr:rowOff>152400</xdr:rowOff>
    </xdr:from>
    <xdr:ext cx="866775" cy="40921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23 CuadroTexto"/>
            <xdr:cNvSpPr txBox="1"/>
          </xdr:nvSpPr>
          <xdr:spPr>
            <a:xfrm>
              <a:off x="2495549" y="35328225"/>
              <a:ext cx="866775" cy="4092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b="0" i="1">
                            <a:latin typeface="Cambria Math"/>
                          </a:rPr>
                          <m:t>𝑞</m:t>
                        </m:r>
                      </m:e>
                      <m:sub>
                        <m:r>
                          <a:rPr lang="es-PE" sz="1100" b="0" i="1">
                            <a:latin typeface="Cambria Math"/>
                          </a:rPr>
                          <m:t>𝑁𝑈</m:t>
                        </m:r>
                      </m:sub>
                    </m:sSub>
                    <m:r>
                      <a:rPr lang="es-PE" sz="11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es-PE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PE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PE" sz="1100" b="0" i="1">
                                <a:latin typeface="Cambria Math"/>
                              </a:rPr>
                              <m:t>𝑃</m:t>
                            </m:r>
                          </m:e>
                          <m:sub>
                            <m:r>
                              <a:rPr lang="es-PE" sz="1100" b="0" i="1">
                                <a:latin typeface="Cambria Math"/>
                              </a:rPr>
                              <m:t>𝑈</m:t>
                            </m:r>
                          </m:sub>
                        </m:sSub>
                      </m:num>
                      <m:den>
                        <m:r>
                          <a:rPr lang="es-PE" sz="1100" b="0" i="1">
                            <a:latin typeface="Cambria Math"/>
                          </a:rPr>
                          <m:t>𝑏</m:t>
                        </m:r>
                      </m:den>
                    </m:f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4" name="23 CuadroTexto"/>
            <xdr:cNvSpPr txBox="1"/>
          </xdr:nvSpPr>
          <xdr:spPr>
            <a:xfrm>
              <a:off x="2495549" y="35328225"/>
              <a:ext cx="866775" cy="4092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s-PE" sz="1100" b="0" i="0">
                  <a:latin typeface="Cambria Math"/>
                </a:rPr>
                <a:t>𝑞_𝑁𝑈=𝑃_𝑈/𝑏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8</xdr:col>
      <xdr:colOff>371475</xdr:colOff>
      <xdr:row>207</xdr:row>
      <xdr:rowOff>57150</xdr:rowOff>
    </xdr:from>
    <xdr:ext cx="1523999" cy="5838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30 CuadroTexto"/>
            <xdr:cNvSpPr txBox="1"/>
          </xdr:nvSpPr>
          <xdr:spPr>
            <a:xfrm>
              <a:off x="3362325" y="35232975"/>
              <a:ext cx="1523999" cy="5838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b="0" i="1">
                            <a:latin typeface="Cambria Math"/>
                          </a:rPr>
                          <m:t>𝑀</m:t>
                        </m:r>
                      </m:e>
                      <m:sub>
                        <m:r>
                          <a:rPr lang="es-PE" sz="1100" b="0" i="1">
                            <a:latin typeface="Cambria Math"/>
                          </a:rPr>
                          <m:t>𝑈</m:t>
                        </m:r>
                      </m:sub>
                    </m:sSub>
                    <m:r>
                      <a:rPr lang="es-PE" sz="11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es-PE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PE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PE" sz="1100" b="0" i="1">
                                <a:latin typeface="Cambria Math"/>
                              </a:rPr>
                              <m:t>𝑞</m:t>
                            </m:r>
                          </m:e>
                          <m:sub>
                            <m:r>
                              <a:rPr lang="es-PE" sz="1100" b="0" i="1">
                                <a:latin typeface="Cambria Math"/>
                              </a:rPr>
                              <m:t>𝑁𝑈</m:t>
                            </m:r>
                          </m:sub>
                        </m:sSub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∙</m:t>
                        </m:r>
                        <m:sSup>
                          <m:sSupPr>
                            <m:ctrlPr>
                              <a:rPr lang="es-PE" sz="11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s-P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s-PE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es-PE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𝑏</m:t>
                                    </m:r>
                                    <m:r>
                                      <a:rPr lang="es-PE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−</m:t>
                                    </m:r>
                                    <m:sSub>
                                      <m:sSubPr>
                                        <m:ctrlPr>
                                          <a:rPr lang="es-PE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s-PE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𝑡</m:t>
                                        </m:r>
                                      </m:e>
                                      <m:sub>
                                        <m:r>
                                          <a:rPr lang="es-PE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2</m:t>
                                        </m:r>
                                      </m:sub>
                                    </m:sSub>
                                  </m:num>
                                  <m:den>
                                    <m:r>
                                      <a:rPr lang="es-PE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den>
                                </m:f>
                              </m:e>
                            </m:d>
                          </m:e>
                          <m:sup>
                            <m:r>
                              <a:rPr lang="es-PE" sz="1100" b="0" i="1">
                                <a:latin typeface="Cambria Math"/>
                                <a:ea typeface="Cambria Math"/>
                              </a:rPr>
                              <m:t>2</m:t>
                            </m:r>
                          </m:sup>
                        </m:sSup>
                      </m:num>
                      <m:den>
                        <m:r>
                          <a:rPr lang="es-PE" sz="1100" b="0" i="1">
                            <a:latin typeface="Cambria Math"/>
                          </a:rPr>
                          <m:t>2</m:t>
                        </m:r>
                      </m:den>
                    </m:f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1" name="30 CuadroTexto"/>
            <xdr:cNvSpPr txBox="1"/>
          </xdr:nvSpPr>
          <xdr:spPr>
            <a:xfrm>
              <a:off x="3362325" y="35232975"/>
              <a:ext cx="1523999" cy="5838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s-PE" sz="1100" b="0" i="0">
                  <a:latin typeface="Cambria Math"/>
                </a:rPr>
                <a:t>𝑀_𝑈=(𝑞_𝑁𝑈</a:t>
              </a:r>
              <a:r>
                <a:rPr lang="es-PE" sz="1100" b="0" i="0">
                  <a:latin typeface="Cambria Math"/>
                  <a:ea typeface="Cambria Math"/>
                </a:rPr>
                <a:t>∙</a:t>
              </a:r>
              <a:r>
                <a:rPr lang="es-P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((𝑏−𝑡_2)/2)</a:t>
              </a:r>
              <a:r>
                <a:rPr lang="es-PE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^</a:t>
              </a:r>
              <a:r>
                <a:rPr lang="es-PE" sz="1100" b="0" i="0">
                  <a:latin typeface="Cambria Math"/>
                  <a:ea typeface="Cambria Math"/>
                </a:rPr>
                <a:t>2)/</a:t>
              </a:r>
              <a:r>
                <a:rPr lang="es-PE" sz="1100" b="0" i="0">
                  <a:latin typeface="Cambria Math"/>
                </a:rPr>
                <a:t>2</a:t>
              </a:r>
              <a:endParaRPr lang="es-PE" sz="1100"/>
            </a:p>
          </xdr:txBody>
        </xdr:sp>
      </mc:Fallback>
    </mc:AlternateContent>
    <xdr:clientData/>
  </xdr:oneCellAnchor>
  <xdr:twoCellAnchor>
    <xdr:from>
      <xdr:col>11</xdr:col>
      <xdr:colOff>76200</xdr:colOff>
      <xdr:row>215</xdr:row>
      <xdr:rowOff>85725</xdr:rowOff>
    </xdr:from>
    <xdr:to>
      <xdr:col>11</xdr:col>
      <xdr:colOff>472678</xdr:colOff>
      <xdr:row>215</xdr:row>
      <xdr:rowOff>85725</xdr:rowOff>
    </xdr:to>
    <xdr:cxnSp macro="">
      <xdr:nvCxnSpPr>
        <xdr:cNvPr id="46" name="45 Conector recto de flecha"/>
        <xdr:cNvCxnSpPr/>
      </xdr:nvCxnSpPr>
      <xdr:spPr>
        <a:xfrm>
          <a:off x="5143500" y="35109150"/>
          <a:ext cx="396478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209550</xdr:colOff>
      <xdr:row>219</xdr:row>
      <xdr:rowOff>133350</xdr:rowOff>
    </xdr:from>
    <xdr:ext cx="914400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31 CuadroTexto"/>
            <xdr:cNvSpPr txBox="1"/>
          </xdr:nvSpPr>
          <xdr:spPr>
            <a:xfrm>
              <a:off x="2447925" y="37414200"/>
              <a:ext cx="9144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es-PE" sz="1100" b="0"/>
                <a:t>S</a:t>
              </a:r>
              <a14:m>
                <m:oMath xmlns:m="http://schemas.openxmlformats.org/officeDocument/2006/math">
                  <m:r>
                    <a:rPr lang="es-PE" sz="1100" b="0" i="1">
                      <a:latin typeface="Cambria Math"/>
                    </a:rPr>
                    <m:t>=36</m:t>
                  </m:r>
                  <m:r>
                    <a:rPr lang="es-PE" sz="1100" b="0" i="1">
                      <a:latin typeface="Cambria Math"/>
                      <a:ea typeface="Cambria Math"/>
                    </a:rPr>
                    <m:t>∙∅</m:t>
                  </m:r>
                </m:oMath>
              </a14:m>
              <a:endParaRPr lang="es-PE" sz="1100"/>
            </a:p>
          </xdr:txBody>
        </xdr:sp>
      </mc:Choice>
      <mc:Fallback xmlns="">
        <xdr:sp macro="" textlink="">
          <xdr:nvSpPr>
            <xdr:cNvPr id="32" name="31 CuadroTexto"/>
            <xdr:cNvSpPr txBox="1"/>
          </xdr:nvSpPr>
          <xdr:spPr>
            <a:xfrm>
              <a:off x="2447925" y="37414200"/>
              <a:ext cx="9144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es-PE" sz="1100" b="0"/>
                <a:t>S</a:t>
              </a:r>
              <a:r>
                <a:rPr lang="es-PE" sz="1100" b="0" i="0">
                  <a:latin typeface="Cambria Math"/>
                </a:rPr>
                <a:t>=36</a:t>
              </a:r>
              <a:r>
                <a:rPr lang="es-PE" sz="1100" b="0" i="0">
                  <a:latin typeface="Cambria Math"/>
                  <a:ea typeface="Cambria Math"/>
                </a:rPr>
                <a:t>∙∅</a:t>
              </a:r>
              <a:endParaRPr lang="es-PE" sz="1100"/>
            </a:p>
          </xdr:txBody>
        </xdr:sp>
      </mc:Fallback>
    </mc:AlternateContent>
    <xdr:clientData/>
  </xdr:oneCellAnchor>
  <xdr:twoCellAnchor>
    <xdr:from>
      <xdr:col>11</xdr:col>
      <xdr:colOff>0</xdr:colOff>
      <xdr:row>229</xdr:row>
      <xdr:rowOff>76200</xdr:rowOff>
    </xdr:from>
    <xdr:to>
      <xdr:col>11</xdr:col>
      <xdr:colOff>482203</xdr:colOff>
      <xdr:row>229</xdr:row>
      <xdr:rowOff>76200</xdr:rowOff>
    </xdr:to>
    <xdr:cxnSp macro="">
      <xdr:nvCxnSpPr>
        <xdr:cNvPr id="47" name="46 Conector recto de flecha"/>
        <xdr:cNvCxnSpPr/>
      </xdr:nvCxnSpPr>
      <xdr:spPr>
        <a:xfrm>
          <a:off x="4838700" y="39300150"/>
          <a:ext cx="482203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762000</xdr:colOff>
      <xdr:row>21</xdr:row>
      <xdr:rowOff>9525</xdr:rowOff>
    </xdr:from>
    <xdr:ext cx="1343026" cy="48526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2 CuadroTexto"/>
            <xdr:cNvSpPr txBox="1"/>
          </xdr:nvSpPr>
          <xdr:spPr>
            <a:xfrm>
              <a:off x="9420225" y="3562350"/>
              <a:ext cx="1343026" cy="4852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PE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PE" sz="1100" b="0" i="1">
                                <a:latin typeface="Cambria Math"/>
                              </a:rPr>
                              <m:t>𝑓</m:t>
                            </m:r>
                          </m:e>
                          <m:sub>
                            <m:r>
                              <a:rPr lang="es-PE" sz="1100" b="0" i="1">
                                <a:latin typeface="Cambria Math"/>
                              </a:rPr>
                              <m:t>𝑐𝑡</m:t>
                            </m:r>
                          </m:sub>
                        </m:sSub>
                      </m:num>
                      <m:den>
                        <m:r>
                          <a:rPr lang="es-PE" sz="1100" b="0" i="1">
                            <a:latin typeface="Cambria Math"/>
                          </a:rPr>
                          <m:t>1.78</m:t>
                        </m:r>
                        <m:r>
                          <a:rPr lang="es-PE" sz="1100" b="0" i="1">
                            <a:latin typeface="Cambria Math"/>
                            <a:ea typeface="Cambria Math"/>
                          </a:rPr>
                          <m:t>∙</m:t>
                        </m:r>
                        <m:rad>
                          <m:radPr>
                            <m:degHide m:val="on"/>
                            <m:ctrlPr>
                              <a:rPr lang="es-PE" sz="11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radPr>
                          <m:deg/>
                          <m:e>
                            <m:sSup>
                              <m:sSupPr>
                                <m:ctrlPr>
                                  <a:rPr lang="es-PE" sz="1100" b="0" i="1">
                                    <a:latin typeface="Cambria Math" panose="02040503050406030204" pitchFamily="18" charset="0"/>
                                    <a:ea typeface="Cambria Math"/>
                                  </a:rPr>
                                </m:ctrlPr>
                              </m:sSupPr>
                              <m:e>
                                <m:r>
                                  <a:rPr lang="es-PE" sz="1100" b="0" i="1">
                                    <a:latin typeface="Cambria Math"/>
                                    <a:ea typeface="Cambria Math"/>
                                  </a:rPr>
                                  <m:t>𝑓</m:t>
                                </m:r>
                              </m:e>
                              <m:sup>
                                <m:r>
                                  <a:rPr lang="es-PE" sz="1100" b="0" i="1">
                                    <a:latin typeface="Cambria Math"/>
                                    <a:ea typeface="Cambria Math"/>
                                  </a:rPr>
                                  <m:t>′</m:t>
                                </m:r>
                              </m:sup>
                            </m:sSup>
                            <m:r>
                              <a:rPr lang="es-PE" sz="1100" b="0" i="1">
                                <a:latin typeface="Cambria Math"/>
                                <a:ea typeface="Cambria Math"/>
                              </a:rPr>
                              <m:t>𝑐</m:t>
                            </m:r>
                          </m:e>
                        </m:rad>
                      </m:den>
                    </m:f>
                    <m:r>
                      <a:rPr lang="es-PE" sz="1100" i="1">
                        <a:latin typeface="Cambria Math"/>
                        <a:ea typeface="Cambria Math"/>
                      </a:rPr>
                      <m:t>≤</m:t>
                    </m:r>
                    <m:r>
                      <a:rPr lang="es-PE" sz="1100" b="0" i="1">
                        <a:latin typeface="Cambria Math"/>
                        <a:ea typeface="Cambria Math"/>
                      </a:rPr>
                      <m:t>1.0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" name="2 CuadroTexto"/>
            <xdr:cNvSpPr txBox="1"/>
          </xdr:nvSpPr>
          <xdr:spPr>
            <a:xfrm>
              <a:off x="9420225" y="3562350"/>
              <a:ext cx="1343026" cy="4852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s-PE" sz="1100" b="0" i="0">
                  <a:latin typeface="Cambria Math"/>
                </a:rPr>
                <a:t>𝑓_𝑐𝑡/(1.78</a:t>
              </a:r>
              <a:r>
                <a:rPr lang="es-PE" sz="1100" b="0" i="0">
                  <a:latin typeface="Cambria Math"/>
                  <a:ea typeface="Cambria Math"/>
                </a:rPr>
                <a:t>∙√(𝑓^′ 𝑐))</a:t>
              </a:r>
              <a:r>
                <a:rPr lang="es-PE" sz="1100" i="0">
                  <a:latin typeface="Cambria Math"/>
                  <a:ea typeface="Cambria Math"/>
                </a:rPr>
                <a:t>≤</a:t>
              </a:r>
              <a:r>
                <a:rPr lang="es-PE" sz="1100" b="0" i="0">
                  <a:latin typeface="Cambria Math"/>
                  <a:ea typeface="Cambria Math"/>
                </a:rPr>
                <a:t>1.0</a:t>
              </a:r>
              <a:endParaRPr lang="es-PE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167"/>
  <sheetViews>
    <sheetView zoomScaleNormal="100" workbookViewId="0">
      <selection activeCell="C13" sqref="C13"/>
    </sheetView>
  </sheetViews>
  <sheetFormatPr baseColWidth="10" defaultRowHeight="12.75" x14ac:dyDescent="0.2"/>
  <cols>
    <col min="1" max="1" width="5.85546875" style="57" customWidth="1"/>
    <col min="2" max="2" width="11.5703125" style="57" bestFit="1" customWidth="1"/>
    <col min="3" max="3" width="9.140625" style="57" bestFit="1" customWidth="1"/>
    <col min="4" max="4" width="8.140625" style="57" customWidth="1"/>
    <col min="5" max="5" width="11.5703125" style="57" bestFit="1" customWidth="1"/>
    <col min="6" max="6" width="4.42578125" style="57" customWidth="1"/>
    <col min="7" max="7" width="4.5703125" style="57" customWidth="1"/>
    <col min="8" max="8" width="8.5703125" style="57" customWidth="1"/>
    <col min="9" max="9" width="3.5703125" style="57" customWidth="1"/>
    <col min="10" max="10" width="4.42578125" style="57" bestFit="1" customWidth="1"/>
    <col min="11" max="11" width="8.5703125" style="57" customWidth="1"/>
    <col min="12" max="12" width="13.28515625" style="57" customWidth="1"/>
    <col min="13" max="13" width="11.42578125" style="57"/>
    <col min="14" max="14" width="12" style="57" bestFit="1" customWidth="1"/>
    <col min="15" max="15" width="11" style="57" customWidth="1"/>
    <col min="16" max="16" width="11.42578125" style="57"/>
    <col min="17" max="17" width="8" style="57" customWidth="1"/>
    <col min="18" max="19" width="7" style="57" customWidth="1"/>
    <col min="20" max="20" width="7.28515625" style="57" customWidth="1"/>
    <col min="21" max="21" width="9" style="57" customWidth="1"/>
    <col min="22" max="22" width="8.7109375" style="57" hidden="1" customWidth="1"/>
    <col min="23" max="16384" width="11.42578125" style="57"/>
  </cols>
  <sheetData>
    <row r="1" spans="1:42" ht="36" x14ac:dyDescent="0.35">
      <c r="A1" s="128" t="s">
        <v>141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56" t="s">
        <v>210</v>
      </c>
      <c r="N1" s="56" t="s">
        <v>211</v>
      </c>
      <c r="O1" s="56" t="s">
        <v>212</v>
      </c>
      <c r="P1" s="56" t="s">
        <v>213</v>
      </c>
      <c r="Q1" s="56" t="s">
        <v>258</v>
      </c>
      <c r="R1" s="56" t="s">
        <v>259</v>
      </c>
      <c r="S1" s="56" t="s">
        <v>260</v>
      </c>
      <c r="T1" s="56" t="s">
        <v>261</v>
      </c>
      <c r="U1" s="56" t="s">
        <v>262</v>
      </c>
      <c r="V1" s="56" t="s">
        <v>221</v>
      </c>
      <c r="W1" s="56" t="s">
        <v>257</v>
      </c>
    </row>
    <row r="2" spans="1:42" ht="15" customHeight="1" x14ac:dyDescent="0.2">
      <c r="A2" s="58"/>
      <c r="B2" s="58"/>
      <c r="C2" s="58"/>
      <c r="D2" s="129" t="s">
        <v>70</v>
      </c>
      <c r="E2" s="129"/>
      <c r="F2" s="129"/>
      <c r="G2" s="129"/>
      <c r="H2" s="129"/>
      <c r="I2" s="129"/>
      <c r="J2" s="58"/>
      <c r="K2" s="58"/>
      <c r="L2" s="58"/>
      <c r="M2" s="59" t="s">
        <v>214</v>
      </c>
      <c r="N2" s="59">
        <f>SUM(O2:P2)</f>
        <v>96909.28</v>
      </c>
      <c r="O2" s="60">
        <f>AC3</f>
        <v>73091.48</v>
      </c>
      <c r="P2" s="60">
        <f>AM3</f>
        <v>23817.8</v>
      </c>
      <c r="Q2" s="116">
        <v>0.3</v>
      </c>
      <c r="R2" s="116">
        <v>0.75</v>
      </c>
      <c r="S2" s="62">
        <v>1.75</v>
      </c>
      <c r="T2" s="62">
        <v>1.75</v>
      </c>
      <c r="U2" s="62">
        <v>0.3</v>
      </c>
      <c r="V2" s="61" t="s">
        <v>222</v>
      </c>
      <c r="W2" s="90">
        <f>PRODUCT(2.5,S2,T2,10000)/10</f>
        <v>7656.25</v>
      </c>
      <c r="X2" s="57" t="s">
        <v>198</v>
      </c>
      <c r="Y2" s="57" t="s">
        <v>199</v>
      </c>
      <c r="Z2" s="57" t="s">
        <v>200</v>
      </c>
      <c r="AA2" s="57" t="s">
        <v>201</v>
      </c>
      <c r="AB2" s="57" t="s">
        <v>202</v>
      </c>
      <c r="AC2" s="57" t="s">
        <v>203</v>
      </c>
      <c r="AD2" s="57" t="s">
        <v>204</v>
      </c>
      <c r="AE2" s="57" t="s">
        <v>205</v>
      </c>
      <c r="AF2" s="57" t="s">
        <v>206</v>
      </c>
      <c r="AH2" s="57" t="s">
        <v>198</v>
      </c>
      <c r="AI2" s="57" t="s">
        <v>199</v>
      </c>
      <c r="AJ2" s="57" t="s">
        <v>200</v>
      </c>
      <c r="AK2" s="57" t="s">
        <v>201</v>
      </c>
      <c r="AL2" s="57" t="s">
        <v>202</v>
      </c>
      <c r="AM2" s="57" t="s">
        <v>203</v>
      </c>
      <c r="AN2" s="57" t="s">
        <v>204</v>
      </c>
      <c r="AO2" s="57" t="s">
        <v>205</v>
      </c>
      <c r="AP2" s="57" t="s">
        <v>206</v>
      </c>
    </row>
    <row r="3" spans="1:42" ht="15" customHeight="1" x14ac:dyDescent="0.2">
      <c r="A3" s="71" t="s">
        <v>219</v>
      </c>
      <c r="B3" s="63" t="s">
        <v>224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9" t="s">
        <v>220</v>
      </c>
      <c r="N3" s="59">
        <f t="shared" ref="N3:N66" si="0">SUM(O3:P3)</f>
        <v>96269.67</v>
      </c>
      <c r="O3" s="60">
        <f t="shared" ref="O3:O66" si="1">AC4</f>
        <v>71488.08</v>
      </c>
      <c r="P3" s="60">
        <f t="shared" ref="P3:P66" si="2">AM4</f>
        <v>24781.59</v>
      </c>
      <c r="Q3" s="116">
        <v>0.3</v>
      </c>
      <c r="R3" s="116">
        <v>0.75</v>
      </c>
      <c r="S3" s="62">
        <v>1.75</v>
      </c>
      <c r="T3" s="62">
        <v>1.75</v>
      </c>
      <c r="U3" s="62">
        <v>0.3</v>
      </c>
      <c r="V3" s="61" t="s">
        <v>222</v>
      </c>
      <c r="W3" s="90">
        <f t="shared" ref="W3:W17" si="3">PRODUCT(2.5,S3,T3,10000)/10</f>
        <v>7656.25</v>
      </c>
      <c r="X3" s="57" t="s">
        <v>207</v>
      </c>
      <c r="Y3" s="57">
        <v>6</v>
      </c>
      <c r="Z3" s="57" t="s">
        <v>208</v>
      </c>
      <c r="AA3" s="57">
        <v>-2123.44</v>
      </c>
      <c r="AB3" s="57">
        <v>-275.39</v>
      </c>
      <c r="AC3" s="57">
        <v>73091.48</v>
      </c>
      <c r="AD3" s="57">
        <v>162.178</v>
      </c>
      <c r="AE3" s="57">
        <v>-1524.115</v>
      </c>
      <c r="AF3" s="57">
        <v>-0.19500000000000001</v>
      </c>
      <c r="AH3" s="57" t="s">
        <v>207</v>
      </c>
      <c r="AI3" s="57">
        <v>6</v>
      </c>
      <c r="AJ3" s="57" t="s">
        <v>209</v>
      </c>
      <c r="AK3" s="57">
        <v>-973.11</v>
      </c>
      <c r="AL3" s="57">
        <v>-124.07</v>
      </c>
      <c r="AM3" s="57">
        <v>23817.8</v>
      </c>
      <c r="AN3" s="57">
        <v>72.936999999999998</v>
      </c>
      <c r="AO3" s="57">
        <v>-698.47900000000004</v>
      </c>
      <c r="AP3" s="57">
        <v>-0.115</v>
      </c>
    </row>
    <row r="4" spans="1:42" x14ac:dyDescent="0.2">
      <c r="A4" s="98" t="s">
        <v>0</v>
      </c>
      <c r="B4" s="65">
        <f>VLOOKUP(B3,M2:P69,3,FALSE)</f>
        <v>42417.919999999998</v>
      </c>
      <c r="C4" s="71" t="s">
        <v>7</v>
      </c>
      <c r="D4" s="58"/>
      <c r="E4" s="58"/>
      <c r="F4" s="58"/>
      <c r="G4" s="58"/>
      <c r="H4" s="58"/>
      <c r="I4" s="58"/>
      <c r="J4" s="58"/>
      <c r="K4" s="58"/>
      <c r="L4" s="58"/>
      <c r="M4" s="59" t="s">
        <v>247</v>
      </c>
      <c r="N4" s="59">
        <f t="shared" si="0"/>
        <v>114273.86</v>
      </c>
      <c r="O4" s="60">
        <f t="shared" si="1"/>
        <v>85011.74</v>
      </c>
      <c r="P4" s="60">
        <f t="shared" si="2"/>
        <v>29262.12</v>
      </c>
      <c r="Q4" s="116">
        <v>0.75</v>
      </c>
      <c r="R4" s="116">
        <v>0.3</v>
      </c>
      <c r="S4" s="62">
        <v>1.75</v>
      </c>
      <c r="T4" s="62">
        <v>1.75</v>
      </c>
      <c r="U4" s="62">
        <v>0.3</v>
      </c>
      <c r="V4" s="61" t="s">
        <v>222</v>
      </c>
      <c r="W4" s="90">
        <f t="shared" si="3"/>
        <v>7656.25</v>
      </c>
      <c r="X4" s="57" t="s">
        <v>207</v>
      </c>
      <c r="Y4" s="57">
        <v>7</v>
      </c>
      <c r="Z4" s="57" t="s">
        <v>208</v>
      </c>
      <c r="AA4" s="57">
        <v>-1246.72</v>
      </c>
      <c r="AB4" s="57">
        <v>198.67</v>
      </c>
      <c r="AC4" s="57">
        <v>71488.08</v>
      </c>
      <c r="AD4" s="57">
        <v>-138.38800000000001</v>
      </c>
      <c r="AE4" s="57">
        <v>-897.62099999999998</v>
      </c>
      <c r="AF4" s="57">
        <v>-0.19500000000000001</v>
      </c>
      <c r="AH4" s="57" t="s">
        <v>207</v>
      </c>
      <c r="AI4" s="57">
        <v>7</v>
      </c>
      <c r="AJ4" s="57" t="s">
        <v>209</v>
      </c>
      <c r="AK4" s="57">
        <v>-624.30999999999995</v>
      </c>
      <c r="AL4" s="57">
        <v>92.64</v>
      </c>
      <c r="AM4" s="57">
        <v>24781.59</v>
      </c>
      <c r="AN4" s="57">
        <v>-64.856999999999999</v>
      </c>
      <c r="AO4" s="57">
        <v>-449.44</v>
      </c>
      <c r="AP4" s="57">
        <v>-0.115</v>
      </c>
    </row>
    <row r="5" spans="1:42" x14ac:dyDescent="0.2">
      <c r="A5" s="98" t="s">
        <v>1</v>
      </c>
      <c r="B5" s="65">
        <f>VLOOKUP(B3,M2:P69,4,FALSE)</f>
        <v>13527.36</v>
      </c>
      <c r="C5" s="71" t="s">
        <v>7</v>
      </c>
      <c r="D5" s="58"/>
      <c r="E5" s="58"/>
      <c r="F5" s="58"/>
      <c r="G5" s="58"/>
      <c r="H5" s="58"/>
      <c r="I5" s="58"/>
      <c r="J5" s="58"/>
      <c r="K5" s="58"/>
      <c r="L5" s="58"/>
      <c r="M5" s="59" t="s">
        <v>248</v>
      </c>
      <c r="N5" s="59">
        <f t="shared" si="0"/>
        <v>92903.56</v>
      </c>
      <c r="O5" s="60">
        <f t="shared" si="1"/>
        <v>71359.490000000005</v>
      </c>
      <c r="P5" s="60">
        <f t="shared" si="2"/>
        <v>21544.07</v>
      </c>
      <c r="Q5" s="116">
        <v>0.95</v>
      </c>
      <c r="R5" s="116">
        <v>0.3</v>
      </c>
      <c r="S5" s="62">
        <v>1.75</v>
      </c>
      <c r="T5" s="62">
        <v>1.75</v>
      </c>
      <c r="U5" s="62">
        <v>0.3</v>
      </c>
      <c r="V5" s="61" t="s">
        <v>222</v>
      </c>
      <c r="W5" s="90">
        <f t="shared" si="3"/>
        <v>7656.25</v>
      </c>
      <c r="X5" s="57" t="s">
        <v>207</v>
      </c>
      <c r="Y5" s="57">
        <v>12</v>
      </c>
      <c r="Z5" s="57" t="s">
        <v>208</v>
      </c>
      <c r="AA5" s="57">
        <v>-38.29</v>
      </c>
      <c r="AB5" s="57">
        <v>1113.5</v>
      </c>
      <c r="AC5" s="57">
        <v>85011.74</v>
      </c>
      <c r="AD5" s="57">
        <v>-801.23500000000001</v>
      </c>
      <c r="AE5" s="57">
        <v>-24.105</v>
      </c>
      <c r="AF5" s="57">
        <v>-0.19500000000000001</v>
      </c>
      <c r="AH5" s="57" t="s">
        <v>207</v>
      </c>
      <c r="AI5" s="57">
        <v>12</v>
      </c>
      <c r="AJ5" s="57" t="s">
        <v>209</v>
      </c>
      <c r="AK5" s="57">
        <v>-9.2899999999999991</v>
      </c>
      <c r="AL5" s="57">
        <v>569.62</v>
      </c>
      <c r="AM5" s="57">
        <v>29262.12</v>
      </c>
      <c r="AN5" s="57">
        <v>-409.88400000000001</v>
      </c>
      <c r="AO5" s="57">
        <v>-5.6639999999999997</v>
      </c>
      <c r="AP5" s="57">
        <v>-0.115</v>
      </c>
    </row>
    <row r="6" spans="1:42" x14ac:dyDescent="0.2">
      <c r="A6" s="98" t="s">
        <v>182</v>
      </c>
      <c r="B6" s="66">
        <v>1.2</v>
      </c>
      <c r="C6" s="71" t="s">
        <v>8</v>
      </c>
      <c r="D6" s="58"/>
      <c r="E6" s="58"/>
      <c r="F6" s="58"/>
      <c r="G6" s="58"/>
      <c r="H6" s="58"/>
      <c r="I6" s="58"/>
      <c r="J6" s="58"/>
      <c r="K6" s="58"/>
      <c r="L6" s="58"/>
      <c r="M6" s="59" t="s">
        <v>249</v>
      </c>
      <c r="N6" s="59">
        <f t="shared" si="0"/>
        <v>111962.18000000001</v>
      </c>
      <c r="O6" s="60">
        <f t="shared" si="1"/>
        <v>84873.8</v>
      </c>
      <c r="P6" s="60">
        <f t="shared" si="2"/>
        <v>27088.38</v>
      </c>
      <c r="Q6" s="116">
        <v>0.95</v>
      </c>
      <c r="R6" s="116">
        <v>0.3</v>
      </c>
      <c r="S6" s="62">
        <v>1.75</v>
      </c>
      <c r="T6" s="62">
        <v>1.75</v>
      </c>
      <c r="U6" s="62">
        <v>0.3</v>
      </c>
      <c r="V6" s="61" t="s">
        <v>222</v>
      </c>
      <c r="W6" s="90">
        <f t="shared" si="3"/>
        <v>7656.25</v>
      </c>
      <c r="X6" s="57" t="s">
        <v>207</v>
      </c>
      <c r="Y6" s="57">
        <v>14</v>
      </c>
      <c r="Z6" s="57" t="s">
        <v>208</v>
      </c>
      <c r="AA6" s="57">
        <v>-727.04</v>
      </c>
      <c r="AB6" s="57">
        <v>830.23</v>
      </c>
      <c r="AC6" s="57">
        <v>71359.490000000005</v>
      </c>
      <c r="AD6" s="57">
        <v>-596.64400000000001</v>
      </c>
      <c r="AE6" s="57">
        <v>-432.07799999999997</v>
      </c>
      <c r="AF6" s="57">
        <v>-0.30399999999999999</v>
      </c>
      <c r="AH6" s="57" t="s">
        <v>207</v>
      </c>
      <c r="AI6" s="57">
        <v>14</v>
      </c>
      <c r="AJ6" s="57" t="s">
        <v>209</v>
      </c>
      <c r="AK6" s="57">
        <v>-327.73</v>
      </c>
      <c r="AL6" s="57">
        <v>424.84</v>
      </c>
      <c r="AM6" s="57">
        <v>21544.07</v>
      </c>
      <c r="AN6" s="57">
        <v>-305.35899999999998</v>
      </c>
      <c r="AO6" s="57">
        <v>-194.715</v>
      </c>
      <c r="AP6" s="57">
        <v>-0.21099999999999999</v>
      </c>
    </row>
    <row r="7" spans="1:42" x14ac:dyDescent="0.2">
      <c r="A7" s="98" t="s">
        <v>2</v>
      </c>
      <c r="B7" s="65">
        <v>500</v>
      </c>
      <c r="C7" s="71" t="s">
        <v>243</v>
      </c>
      <c r="D7" s="58"/>
      <c r="E7" s="58"/>
      <c r="F7" s="58"/>
      <c r="G7" s="58"/>
      <c r="H7" s="58"/>
      <c r="I7" s="58"/>
      <c r="J7" s="58"/>
      <c r="K7" s="58"/>
      <c r="L7" s="58"/>
      <c r="M7" s="59" t="s">
        <v>263</v>
      </c>
      <c r="N7" s="59">
        <f t="shared" si="0"/>
        <v>85621.35</v>
      </c>
      <c r="O7" s="60">
        <f t="shared" si="1"/>
        <v>65757.52</v>
      </c>
      <c r="P7" s="60">
        <f t="shared" si="2"/>
        <v>19863.830000000002</v>
      </c>
      <c r="Q7" s="116">
        <v>0.95</v>
      </c>
      <c r="R7" s="116">
        <v>0.3</v>
      </c>
      <c r="S7" s="62">
        <v>1.75</v>
      </c>
      <c r="T7" s="62">
        <v>1.75</v>
      </c>
      <c r="U7" s="62">
        <v>0.3</v>
      </c>
      <c r="V7" s="61" t="s">
        <v>222</v>
      </c>
      <c r="W7" s="90">
        <f t="shared" si="3"/>
        <v>7656.25</v>
      </c>
      <c r="X7" s="57" t="s">
        <v>207</v>
      </c>
      <c r="Y7" s="57">
        <v>15</v>
      </c>
      <c r="Z7" s="57" t="s">
        <v>208</v>
      </c>
      <c r="AA7" s="57">
        <v>503.08</v>
      </c>
      <c r="AB7" s="57">
        <v>839.41</v>
      </c>
      <c r="AC7" s="57">
        <v>84873.8</v>
      </c>
      <c r="AD7" s="57">
        <v>-604.55499999999995</v>
      </c>
      <c r="AE7" s="57">
        <v>300.476</v>
      </c>
      <c r="AF7" s="57">
        <v>-0.30399999999999999</v>
      </c>
      <c r="AH7" s="57" t="s">
        <v>207</v>
      </c>
      <c r="AI7" s="57">
        <v>15</v>
      </c>
      <c r="AJ7" s="57" t="s">
        <v>209</v>
      </c>
      <c r="AK7" s="57">
        <v>248.2</v>
      </c>
      <c r="AL7" s="57">
        <v>430.91</v>
      </c>
      <c r="AM7" s="57">
        <v>27088.38</v>
      </c>
      <c r="AN7" s="57">
        <v>-310.33600000000001</v>
      </c>
      <c r="AO7" s="57">
        <v>148.261</v>
      </c>
      <c r="AP7" s="57">
        <v>-0.21099999999999999</v>
      </c>
    </row>
    <row r="8" spans="1:42" x14ac:dyDescent="0.2">
      <c r="A8" s="98" t="s">
        <v>22</v>
      </c>
      <c r="B8" s="66">
        <f>VLOOKUP(B3,M2:R69,5,FALSE)</f>
        <v>0.75</v>
      </c>
      <c r="C8" s="71" t="s">
        <v>8</v>
      </c>
      <c r="D8" s="58"/>
      <c r="E8" s="58"/>
      <c r="F8" s="58"/>
      <c r="G8" s="58"/>
      <c r="H8" s="58"/>
      <c r="I8" s="58"/>
      <c r="J8" s="58"/>
      <c r="K8" s="58"/>
      <c r="L8" s="58"/>
      <c r="M8" s="59" t="s">
        <v>251</v>
      </c>
      <c r="N8" s="59">
        <f t="shared" si="0"/>
        <v>88366.080000000002</v>
      </c>
      <c r="O8" s="60">
        <f t="shared" si="1"/>
        <v>64683.4</v>
      </c>
      <c r="P8" s="60">
        <f t="shared" si="2"/>
        <v>23682.68</v>
      </c>
      <c r="Q8" s="116">
        <v>0.75</v>
      </c>
      <c r="R8" s="116">
        <v>0.3</v>
      </c>
      <c r="S8" s="62">
        <v>1.75</v>
      </c>
      <c r="T8" s="62">
        <v>1.75</v>
      </c>
      <c r="U8" s="62">
        <v>0.3</v>
      </c>
      <c r="V8" s="61" t="s">
        <v>222</v>
      </c>
      <c r="W8" s="90">
        <f t="shared" si="3"/>
        <v>7656.25</v>
      </c>
      <c r="X8" s="57" t="s">
        <v>207</v>
      </c>
      <c r="Y8" s="57">
        <v>17</v>
      </c>
      <c r="Z8" s="57" t="s">
        <v>208</v>
      </c>
      <c r="AA8" s="57">
        <v>-162.25</v>
      </c>
      <c r="AB8" s="57">
        <v>731.8</v>
      </c>
      <c r="AC8" s="57">
        <v>65757.52</v>
      </c>
      <c r="AD8" s="57">
        <v>-526.41700000000003</v>
      </c>
      <c r="AE8" s="57">
        <v>-95.846000000000004</v>
      </c>
      <c r="AF8" s="57">
        <v>-0.30399999999999999</v>
      </c>
      <c r="AH8" s="57" t="s">
        <v>207</v>
      </c>
      <c r="AI8" s="57">
        <v>17</v>
      </c>
      <c r="AJ8" s="57" t="s">
        <v>209</v>
      </c>
      <c r="AK8" s="57">
        <v>-53.69</v>
      </c>
      <c r="AL8" s="57">
        <v>379.1</v>
      </c>
      <c r="AM8" s="57">
        <v>19863.830000000002</v>
      </c>
      <c r="AN8" s="57">
        <v>-272.73500000000001</v>
      </c>
      <c r="AO8" s="57">
        <v>-31.568999999999999</v>
      </c>
      <c r="AP8" s="57">
        <v>-0.21099999999999999</v>
      </c>
    </row>
    <row r="9" spans="1:42" x14ac:dyDescent="0.2">
      <c r="A9" s="98" t="s">
        <v>21</v>
      </c>
      <c r="B9" s="66">
        <f>VLOOKUP(B3,M2:R69,6,FALSE)</f>
        <v>0.3</v>
      </c>
      <c r="C9" s="71" t="s">
        <v>8</v>
      </c>
      <c r="D9" s="58"/>
      <c r="E9" s="58"/>
      <c r="F9" s="58"/>
      <c r="G9" s="58"/>
      <c r="H9" s="58"/>
      <c r="I9" s="58"/>
      <c r="J9" s="58"/>
      <c r="K9" s="58"/>
      <c r="L9" s="58"/>
      <c r="M9" s="59" t="s">
        <v>252</v>
      </c>
      <c r="N9" s="59">
        <f t="shared" si="0"/>
        <v>89626.069999999992</v>
      </c>
      <c r="O9" s="60">
        <f t="shared" si="1"/>
        <v>65640.59</v>
      </c>
      <c r="P9" s="60">
        <f t="shared" si="2"/>
        <v>23985.48</v>
      </c>
      <c r="Q9" s="116">
        <v>0.75</v>
      </c>
      <c r="R9" s="116">
        <v>0.3</v>
      </c>
      <c r="S9" s="62">
        <v>1.75</v>
      </c>
      <c r="T9" s="62">
        <v>1.75</v>
      </c>
      <c r="U9" s="62">
        <v>0.3</v>
      </c>
      <c r="V9" s="61" t="s">
        <v>222</v>
      </c>
      <c r="W9" s="90">
        <f t="shared" si="3"/>
        <v>7656.25</v>
      </c>
      <c r="X9" s="57" t="s">
        <v>207</v>
      </c>
      <c r="Y9" s="57">
        <v>18</v>
      </c>
      <c r="Z9" s="57" t="s">
        <v>208</v>
      </c>
      <c r="AA9" s="57">
        <v>-441.5</v>
      </c>
      <c r="AB9" s="57">
        <v>738.06</v>
      </c>
      <c r="AC9" s="57">
        <v>64683.4</v>
      </c>
      <c r="AD9" s="57">
        <v>-530.82600000000002</v>
      </c>
      <c r="AE9" s="57">
        <v>-285.38600000000002</v>
      </c>
      <c r="AF9" s="57">
        <v>-0.224</v>
      </c>
      <c r="AH9" s="57" t="s">
        <v>207</v>
      </c>
      <c r="AI9" s="57">
        <v>18</v>
      </c>
      <c r="AJ9" s="57" t="s">
        <v>209</v>
      </c>
      <c r="AK9" s="57">
        <v>-212.71</v>
      </c>
      <c r="AL9" s="57">
        <v>389.28</v>
      </c>
      <c r="AM9" s="57">
        <v>23682.68</v>
      </c>
      <c r="AN9" s="57">
        <v>-279.98599999999999</v>
      </c>
      <c r="AO9" s="57">
        <v>-137.47200000000001</v>
      </c>
      <c r="AP9" s="57">
        <v>-0.156</v>
      </c>
    </row>
    <row r="10" spans="1:42" x14ac:dyDescent="0.2">
      <c r="A10" s="98" t="s">
        <v>14</v>
      </c>
      <c r="B10" s="66">
        <v>0.2</v>
      </c>
      <c r="C10" s="71" t="s">
        <v>8</v>
      </c>
      <c r="D10" s="58"/>
      <c r="E10" s="58"/>
      <c r="F10" s="58"/>
      <c r="G10" s="58"/>
      <c r="H10" s="58"/>
      <c r="I10" s="58"/>
      <c r="J10" s="58"/>
      <c r="K10" s="58"/>
      <c r="L10" s="58"/>
      <c r="M10" s="59" t="s">
        <v>224</v>
      </c>
      <c r="N10" s="59">
        <f t="shared" si="0"/>
        <v>55945.279999999999</v>
      </c>
      <c r="O10" s="60">
        <f t="shared" si="1"/>
        <v>42417.919999999998</v>
      </c>
      <c r="P10" s="60">
        <f t="shared" si="2"/>
        <v>13527.36</v>
      </c>
      <c r="Q10" s="116">
        <v>0.75</v>
      </c>
      <c r="R10" s="116">
        <v>0.3</v>
      </c>
      <c r="S10" s="62">
        <v>2.2999999999999998</v>
      </c>
      <c r="T10" s="62">
        <v>2.35</v>
      </c>
      <c r="U10" s="62">
        <v>0.3</v>
      </c>
      <c r="V10" s="61" t="s">
        <v>222</v>
      </c>
      <c r="W10" s="90">
        <f t="shared" si="3"/>
        <v>13512.5</v>
      </c>
      <c r="X10" s="57" t="s">
        <v>207</v>
      </c>
      <c r="Y10" s="57">
        <v>19</v>
      </c>
      <c r="Z10" s="57" t="s">
        <v>208</v>
      </c>
      <c r="AA10" s="57">
        <v>228.39</v>
      </c>
      <c r="AB10" s="57">
        <v>731.76</v>
      </c>
      <c r="AC10" s="57">
        <v>65640.59</v>
      </c>
      <c r="AD10" s="57">
        <v>-526.70500000000004</v>
      </c>
      <c r="AE10" s="57">
        <v>148.31700000000001</v>
      </c>
      <c r="AF10" s="57">
        <v>-0.224</v>
      </c>
      <c r="AH10" s="57" t="s">
        <v>207</v>
      </c>
      <c r="AI10" s="57">
        <v>19</v>
      </c>
      <c r="AJ10" s="57" t="s">
        <v>209</v>
      </c>
      <c r="AK10" s="57">
        <v>112.89</v>
      </c>
      <c r="AL10" s="57">
        <v>388.03</v>
      </c>
      <c r="AM10" s="57">
        <v>23985.48</v>
      </c>
      <c r="AN10" s="57">
        <v>-279.28899999999999</v>
      </c>
      <c r="AO10" s="57">
        <v>73.326999999999998</v>
      </c>
      <c r="AP10" s="57">
        <v>-0.156</v>
      </c>
    </row>
    <row r="11" spans="1:42" x14ac:dyDescent="0.2">
      <c r="A11" s="98" t="s">
        <v>3</v>
      </c>
      <c r="B11" s="65">
        <v>1900</v>
      </c>
      <c r="C11" s="71" t="s">
        <v>244</v>
      </c>
      <c r="D11" s="58"/>
      <c r="E11" s="58"/>
      <c r="F11" s="58"/>
      <c r="G11" s="58"/>
      <c r="H11" s="58"/>
      <c r="I11" s="58"/>
      <c r="J11" s="58"/>
      <c r="K11" s="58"/>
      <c r="L11" s="58"/>
      <c r="M11" s="59" t="s">
        <v>226</v>
      </c>
      <c r="N11" s="59">
        <f t="shared" si="0"/>
        <v>48435.649999999994</v>
      </c>
      <c r="O11" s="60">
        <f t="shared" si="1"/>
        <v>38541.74</v>
      </c>
      <c r="P11" s="60">
        <f t="shared" si="2"/>
        <v>9893.91</v>
      </c>
      <c r="Q11" s="116">
        <v>0.3</v>
      </c>
      <c r="R11" s="116">
        <v>0.75</v>
      </c>
      <c r="S11" s="62">
        <v>2.2999999999999998</v>
      </c>
      <c r="T11" s="62">
        <v>2.35</v>
      </c>
      <c r="U11" s="62">
        <v>0.3</v>
      </c>
      <c r="V11" s="61" t="s">
        <v>222</v>
      </c>
      <c r="W11" s="90">
        <f t="shared" si="3"/>
        <v>13512.5</v>
      </c>
      <c r="X11" s="57" t="s">
        <v>207</v>
      </c>
      <c r="Y11" s="57">
        <v>21</v>
      </c>
      <c r="Z11" s="57" t="s">
        <v>208</v>
      </c>
      <c r="AA11" s="57">
        <v>-283.10000000000002</v>
      </c>
      <c r="AB11" s="57">
        <v>454.22</v>
      </c>
      <c r="AC11" s="57">
        <v>42417.919999999998</v>
      </c>
      <c r="AD11" s="57">
        <v>-326.67200000000003</v>
      </c>
      <c r="AE11" s="57">
        <v>-183.01</v>
      </c>
      <c r="AF11" s="57">
        <v>-0.224</v>
      </c>
      <c r="AH11" s="57" t="s">
        <v>207</v>
      </c>
      <c r="AI11" s="57">
        <v>21</v>
      </c>
      <c r="AJ11" s="57" t="s">
        <v>209</v>
      </c>
      <c r="AK11" s="57">
        <v>-113.14</v>
      </c>
      <c r="AL11" s="57">
        <v>242.63</v>
      </c>
      <c r="AM11" s="57">
        <v>13527.36</v>
      </c>
      <c r="AN11" s="57">
        <v>-174.52199999999999</v>
      </c>
      <c r="AO11" s="57">
        <v>-73.100999999999999</v>
      </c>
      <c r="AP11" s="57">
        <v>-0.156</v>
      </c>
    </row>
    <row r="12" spans="1:42" x14ac:dyDescent="0.2">
      <c r="A12" s="98" t="s">
        <v>4</v>
      </c>
      <c r="B12" s="66">
        <v>0.9</v>
      </c>
      <c r="C12" s="71" t="s">
        <v>245</v>
      </c>
      <c r="D12" s="58"/>
      <c r="E12" s="58"/>
      <c r="F12" s="58"/>
      <c r="G12" s="58"/>
      <c r="H12" s="58"/>
      <c r="I12" s="58"/>
      <c r="J12" s="58"/>
      <c r="K12" s="58"/>
      <c r="L12" s="58"/>
      <c r="M12" s="59" t="s">
        <v>253</v>
      </c>
      <c r="N12" s="59">
        <f t="shared" si="0"/>
        <v>60312.18</v>
      </c>
      <c r="O12" s="60">
        <f t="shared" si="1"/>
        <v>47291.83</v>
      </c>
      <c r="P12" s="60">
        <f t="shared" si="2"/>
        <v>13020.35</v>
      </c>
      <c r="Q12" s="116">
        <v>0.3</v>
      </c>
      <c r="R12" s="116">
        <v>0.75</v>
      </c>
      <c r="S12" s="62">
        <v>2.75</v>
      </c>
      <c r="T12" s="62">
        <v>2.8</v>
      </c>
      <c r="U12" s="62">
        <v>0.3</v>
      </c>
      <c r="V12" s="61" t="s">
        <v>222</v>
      </c>
      <c r="W12" s="90">
        <f t="shared" si="3"/>
        <v>19250</v>
      </c>
      <c r="X12" s="57" t="s">
        <v>207</v>
      </c>
      <c r="Y12" s="57">
        <v>24</v>
      </c>
      <c r="Z12" s="57" t="s">
        <v>208</v>
      </c>
      <c r="AA12" s="57">
        <v>216.81</v>
      </c>
      <c r="AB12" s="57">
        <v>156.97999999999999</v>
      </c>
      <c r="AC12" s="57">
        <v>38541.74</v>
      </c>
      <c r="AD12" s="57">
        <v>-100.121</v>
      </c>
      <c r="AE12" s="57">
        <v>154.655</v>
      </c>
      <c r="AF12" s="57">
        <v>-0.224</v>
      </c>
      <c r="AH12" s="57" t="s">
        <v>207</v>
      </c>
      <c r="AI12" s="57">
        <v>24</v>
      </c>
      <c r="AJ12" s="57" t="s">
        <v>209</v>
      </c>
      <c r="AK12" s="57">
        <v>105.54</v>
      </c>
      <c r="AL12" s="57">
        <v>103.05</v>
      </c>
      <c r="AM12" s="57">
        <v>9893.91</v>
      </c>
      <c r="AN12" s="57">
        <v>-66.001000000000005</v>
      </c>
      <c r="AO12" s="57">
        <v>75.08</v>
      </c>
      <c r="AP12" s="57">
        <v>-0.156</v>
      </c>
    </row>
    <row r="13" spans="1:42" x14ac:dyDescent="0.2">
      <c r="A13" s="98" t="s">
        <v>5</v>
      </c>
      <c r="B13" s="65">
        <v>210</v>
      </c>
      <c r="C13" s="71" t="s">
        <v>245</v>
      </c>
      <c r="D13" s="58"/>
      <c r="E13" s="58"/>
      <c r="F13" s="58"/>
      <c r="G13" s="58"/>
      <c r="H13" s="58"/>
      <c r="I13" s="58"/>
      <c r="J13" s="58"/>
      <c r="K13" s="58"/>
      <c r="L13" s="58"/>
      <c r="M13" s="59" t="s">
        <v>254</v>
      </c>
      <c r="N13" s="59">
        <f t="shared" si="0"/>
        <v>81832.12</v>
      </c>
      <c r="O13" s="60">
        <f t="shared" si="1"/>
        <v>59920.02</v>
      </c>
      <c r="P13" s="60">
        <f t="shared" si="2"/>
        <v>21912.1</v>
      </c>
      <c r="Q13" s="116">
        <v>0.3</v>
      </c>
      <c r="R13" s="116">
        <v>0.75</v>
      </c>
      <c r="S13" s="62">
        <v>2.75</v>
      </c>
      <c r="T13" s="62">
        <v>2.8</v>
      </c>
      <c r="U13" s="62">
        <v>0.3</v>
      </c>
      <c r="V13" s="61" t="s">
        <v>222</v>
      </c>
      <c r="W13" s="90">
        <f t="shared" si="3"/>
        <v>19250</v>
      </c>
      <c r="X13" s="57" t="s">
        <v>207</v>
      </c>
      <c r="Y13" s="57">
        <v>25</v>
      </c>
      <c r="Z13" s="57" t="s">
        <v>208</v>
      </c>
      <c r="AA13" s="57">
        <v>394.11</v>
      </c>
      <c r="AB13" s="57">
        <v>-541.79999999999995</v>
      </c>
      <c r="AC13" s="57">
        <v>47291.83</v>
      </c>
      <c r="AD13" s="57">
        <v>354.18</v>
      </c>
      <c r="AE13" s="57">
        <v>287.375</v>
      </c>
      <c r="AF13" s="57">
        <v>-0.19500000000000001</v>
      </c>
      <c r="AH13" s="57" t="s">
        <v>207</v>
      </c>
      <c r="AI13" s="57">
        <v>25</v>
      </c>
      <c r="AJ13" s="57" t="s">
        <v>209</v>
      </c>
      <c r="AK13" s="57">
        <v>180.24</v>
      </c>
      <c r="AL13" s="57">
        <v>-236.89</v>
      </c>
      <c r="AM13" s="57">
        <v>13020.35</v>
      </c>
      <c r="AN13" s="57">
        <v>154.92099999999999</v>
      </c>
      <c r="AO13" s="57">
        <v>131.345</v>
      </c>
      <c r="AP13" s="57">
        <v>-0.115</v>
      </c>
    </row>
    <row r="14" spans="1:42" x14ac:dyDescent="0.2">
      <c r="A14" s="98" t="s">
        <v>5</v>
      </c>
      <c r="B14" s="65">
        <v>280</v>
      </c>
      <c r="C14" s="71" t="s">
        <v>245</v>
      </c>
      <c r="D14" s="58"/>
      <c r="E14" s="58"/>
      <c r="F14" s="58"/>
      <c r="G14" s="58"/>
      <c r="H14" s="58"/>
      <c r="I14" s="58"/>
      <c r="J14" s="58"/>
      <c r="K14" s="58"/>
      <c r="L14" s="58"/>
      <c r="M14" s="59" t="s">
        <v>255</v>
      </c>
      <c r="N14" s="59">
        <f t="shared" si="0"/>
        <v>64779.11</v>
      </c>
      <c r="O14" s="60">
        <f t="shared" si="1"/>
        <v>50241.33</v>
      </c>
      <c r="P14" s="60">
        <f t="shared" si="2"/>
        <v>14537.78</v>
      </c>
      <c r="Q14" s="116">
        <v>0.75</v>
      </c>
      <c r="R14" s="116">
        <v>0.3</v>
      </c>
      <c r="S14" s="62">
        <v>2.75</v>
      </c>
      <c r="T14" s="62">
        <v>2.8</v>
      </c>
      <c r="U14" s="62">
        <v>0.3</v>
      </c>
      <c r="V14" s="61" t="s">
        <v>222</v>
      </c>
      <c r="W14" s="90">
        <f t="shared" si="3"/>
        <v>19250</v>
      </c>
      <c r="X14" s="57" t="s">
        <v>207</v>
      </c>
      <c r="Y14" s="57">
        <v>26</v>
      </c>
      <c r="Z14" s="57" t="s">
        <v>208</v>
      </c>
      <c r="AA14" s="57">
        <v>585.19000000000005</v>
      </c>
      <c r="AB14" s="57">
        <v>13.39</v>
      </c>
      <c r="AC14" s="57">
        <v>59920.02</v>
      </c>
      <c r="AD14" s="57">
        <v>-4.2629999999999999</v>
      </c>
      <c r="AE14" s="57">
        <v>420.52499999999998</v>
      </c>
      <c r="AF14" s="57">
        <v>-0.19500000000000001</v>
      </c>
      <c r="AH14" s="57" t="s">
        <v>207</v>
      </c>
      <c r="AI14" s="57">
        <v>26</v>
      </c>
      <c r="AJ14" s="57" t="s">
        <v>209</v>
      </c>
      <c r="AK14" s="57">
        <v>292.44</v>
      </c>
      <c r="AL14" s="57">
        <v>6.11</v>
      </c>
      <c r="AM14" s="57">
        <v>21912.1</v>
      </c>
      <c r="AN14" s="57">
        <v>-1.7529999999999999</v>
      </c>
      <c r="AO14" s="57">
        <v>210.15899999999999</v>
      </c>
      <c r="AP14" s="57">
        <v>-0.115</v>
      </c>
    </row>
    <row r="15" spans="1:42" x14ac:dyDescent="0.2">
      <c r="A15" s="98" t="s">
        <v>6</v>
      </c>
      <c r="B15" s="65">
        <v>4200</v>
      </c>
      <c r="C15" s="71" t="s">
        <v>245</v>
      </c>
      <c r="D15" s="58"/>
      <c r="E15" s="58"/>
      <c r="F15" s="58"/>
      <c r="G15" s="58"/>
      <c r="H15" s="58"/>
      <c r="I15" s="58"/>
      <c r="J15" s="58"/>
      <c r="K15" s="58"/>
      <c r="L15" s="58"/>
      <c r="M15" s="59" t="s">
        <v>256</v>
      </c>
      <c r="N15" s="59">
        <f t="shared" si="0"/>
        <v>64592.86</v>
      </c>
      <c r="O15" s="60">
        <f t="shared" si="1"/>
        <v>50410.58</v>
      </c>
      <c r="P15" s="60">
        <f t="shared" si="2"/>
        <v>14182.28</v>
      </c>
      <c r="Q15" s="116">
        <v>0.75</v>
      </c>
      <c r="R15" s="116">
        <v>0.3</v>
      </c>
      <c r="S15" s="62">
        <v>2.75</v>
      </c>
      <c r="T15" s="62">
        <v>2.8</v>
      </c>
      <c r="U15" s="62">
        <v>0.3</v>
      </c>
      <c r="V15" s="61"/>
      <c r="W15" s="90">
        <f t="shared" si="3"/>
        <v>19250</v>
      </c>
      <c r="X15" s="57" t="s">
        <v>207</v>
      </c>
      <c r="Y15" s="57">
        <v>29</v>
      </c>
      <c r="Z15" s="57" t="s">
        <v>208</v>
      </c>
      <c r="AA15" s="57">
        <v>395.28</v>
      </c>
      <c r="AB15" s="57">
        <v>-356.45</v>
      </c>
      <c r="AC15" s="57">
        <v>50241.33</v>
      </c>
      <c r="AD15" s="57">
        <v>256.495</v>
      </c>
      <c r="AE15" s="57">
        <v>255.91200000000001</v>
      </c>
      <c r="AF15" s="57">
        <v>-0.19500000000000001</v>
      </c>
      <c r="AH15" s="57" t="s">
        <v>207</v>
      </c>
      <c r="AI15" s="57">
        <v>29</v>
      </c>
      <c r="AJ15" s="57" t="s">
        <v>209</v>
      </c>
      <c r="AK15" s="57">
        <v>161.97999999999999</v>
      </c>
      <c r="AL15" s="57">
        <v>-169.54</v>
      </c>
      <c r="AM15" s="57">
        <v>14537.78</v>
      </c>
      <c r="AN15" s="57">
        <v>122</v>
      </c>
      <c r="AO15" s="57">
        <v>104.872</v>
      </c>
      <c r="AP15" s="57">
        <v>-0.115</v>
      </c>
    </row>
    <row r="16" spans="1:42" x14ac:dyDescent="0.2">
      <c r="A16" s="58"/>
      <c r="B16" s="61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9" t="s">
        <v>225</v>
      </c>
      <c r="N16" s="59">
        <f t="shared" si="0"/>
        <v>52518.77</v>
      </c>
      <c r="O16" s="60">
        <f t="shared" si="1"/>
        <v>43096.02</v>
      </c>
      <c r="P16" s="60">
        <f t="shared" si="2"/>
        <v>9422.75</v>
      </c>
      <c r="Q16" s="116">
        <v>0.95</v>
      </c>
      <c r="R16" s="116">
        <v>0.3</v>
      </c>
      <c r="S16" s="62">
        <v>3.25</v>
      </c>
      <c r="T16" s="62">
        <v>3.25</v>
      </c>
      <c r="U16" s="62">
        <v>0.35</v>
      </c>
      <c r="V16" s="61"/>
      <c r="W16" s="90">
        <f t="shared" si="3"/>
        <v>26406.25</v>
      </c>
      <c r="X16" s="57" t="s">
        <v>207</v>
      </c>
      <c r="Y16" s="57">
        <v>30</v>
      </c>
      <c r="Z16" s="57" t="s">
        <v>208</v>
      </c>
      <c r="AA16" s="57">
        <v>36.21</v>
      </c>
      <c r="AB16" s="57">
        <v>-456.75</v>
      </c>
      <c r="AC16" s="57">
        <v>50410.58</v>
      </c>
      <c r="AD16" s="57">
        <v>328.67</v>
      </c>
      <c r="AE16" s="57">
        <v>23.446000000000002</v>
      </c>
      <c r="AF16" s="57">
        <v>-0.224</v>
      </c>
      <c r="AH16" s="57" t="s">
        <v>207</v>
      </c>
      <c r="AI16" s="57">
        <v>30</v>
      </c>
      <c r="AJ16" s="57" t="s">
        <v>209</v>
      </c>
      <c r="AK16" s="57">
        <v>23.34</v>
      </c>
      <c r="AL16" s="57">
        <v>-227.19</v>
      </c>
      <c r="AM16" s="57">
        <v>14182.28</v>
      </c>
      <c r="AN16" s="57">
        <v>163.48099999999999</v>
      </c>
      <c r="AO16" s="57">
        <v>15.113</v>
      </c>
      <c r="AP16" s="57">
        <v>-0.156</v>
      </c>
    </row>
    <row r="17" spans="1:42" x14ac:dyDescent="0.2">
      <c r="A17" s="58" t="s">
        <v>12</v>
      </c>
      <c r="B17" s="80" t="s">
        <v>13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9" t="s">
        <v>223</v>
      </c>
      <c r="N17" s="59">
        <f t="shared" si="0"/>
        <v>83340.290000000008</v>
      </c>
      <c r="O17" s="60">
        <f t="shared" si="1"/>
        <v>64862.01</v>
      </c>
      <c r="P17" s="60">
        <f t="shared" si="2"/>
        <v>18478.28</v>
      </c>
      <c r="Q17" s="116">
        <v>0.95</v>
      </c>
      <c r="R17" s="116">
        <v>0.3</v>
      </c>
      <c r="S17" s="62">
        <v>3.25</v>
      </c>
      <c r="T17" s="62">
        <v>3.25</v>
      </c>
      <c r="U17" s="62">
        <v>0.35</v>
      </c>
      <c r="V17" s="61"/>
      <c r="W17" s="90">
        <f t="shared" si="3"/>
        <v>26406.25</v>
      </c>
      <c r="X17" s="57" t="s">
        <v>207</v>
      </c>
      <c r="Y17" s="57">
        <v>32</v>
      </c>
      <c r="Z17" s="57" t="s">
        <v>208</v>
      </c>
      <c r="AA17" s="57">
        <v>-556.87</v>
      </c>
      <c r="AB17" s="57">
        <v>-332.57</v>
      </c>
      <c r="AC17" s="57">
        <v>43096.02</v>
      </c>
      <c r="AD17" s="57">
        <v>239.31299999999999</v>
      </c>
      <c r="AE17" s="57">
        <v>-331.61399999999998</v>
      </c>
      <c r="AF17" s="57">
        <v>-0.33200000000000002</v>
      </c>
      <c r="AH17" s="57" t="s">
        <v>207</v>
      </c>
      <c r="AI17" s="57">
        <v>32</v>
      </c>
      <c r="AJ17" s="57" t="s">
        <v>209</v>
      </c>
      <c r="AK17" s="57">
        <v>-230.63</v>
      </c>
      <c r="AL17" s="57">
        <v>-161.47999999999999</v>
      </c>
      <c r="AM17" s="57">
        <v>9422.75</v>
      </c>
      <c r="AN17" s="57">
        <v>116.197</v>
      </c>
      <c r="AO17" s="57">
        <v>-137.33799999999999</v>
      </c>
      <c r="AP17" s="57">
        <v>-0.247</v>
      </c>
    </row>
    <row r="18" spans="1:42" ht="6.75" customHeight="1" x14ac:dyDescent="0.2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9" t="s">
        <v>215</v>
      </c>
      <c r="N18" s="59">
        <f t="shared" si="0"/>
        <v>76771.41</v>
      </c>
      <c r="O18" s="60">
        <f t="shared" si="1"/>
        <v>59680.31</v>
      </c>
      <c r="P18" s="60">
        <f t="shared" si="2"/>
        <v>17091.099999999999</v>
      </c>
      <c r="Q18" s="116">
        <v>0.95</v>
      </c>
      <c r="R18" s="116">
        <v>0.3</v>
      </c>
      <c r="S18" s="62"/>
      <c r="T18" s="62"/>
      <c r="U18" s="62"/>
      <c r="V18" s="61"/>
      <c r="W18" s="58"/>
      <c r="X18" s="57" t="s">
        <v>207</v>
      </c>
      <c r="Y18" s="57">
        <v>33</v>
      </c>
      <c r="Z18" s="57" t="s">
        <v>208</v>
      </c>
      <c r="AA18" s="57">
        <v>-833.53</v>
      </c>
      <c r="AB18" s="57">
        <v>-316.75</v>
      </c>
      <c r="AC18" s="57">
        <v>64862.01</v>
      </c>
      <c r="AD18" s="57">
        <v>227.93299999999999</v>
      </c>
      <c r="AE18" s="57">
        <v>-496.36700000000002</v>
      </c>
      <c r="AF18" s="57">
        <v>-0.30399999999999999</v>
      </c>
      <c r="AH18" s="57" t="s">
        <v>207</v>
      </c>
      <c r="AI18" s="57">
        <v>33</v>
      </c>
      <c r="AJ18" s="57" t="s">
        <v>209</v>
      </c>
      <c r="AK18" s="57">
        <v>-346.37</v>
      </c>
      <c r="AL18" s="57">
        <v>-152.72</v>
      </c>
      <c r="AM18" s="57">
        <v>18478.28</v>
      </c>
      <c r="AN18" s="57">
        <v>109.893</v>
      </c>
      <c r="AO18" s="57">
        <v>-206.26</v>
      </c>
      <c r="AP18" s="57">
        <v>-0.21099999999999999</v>
      </c>
    </row>
    <row r="19" spans="1:42" x14ac:dyDescent="0.2">
      <c r="A19" s="58"/>
      <c r="B19" s="98" t="s">
        <v>15</v>
      </c>
      <c r="C19" s="103">
        <f>B12-B11*B6*10^-4-2400*B10*10^-4-B7*10^-4</f>
        <v>0.57399999999999995</v>
      </c>
      <c r="D19" s="71" t="s">
        <v>231</v>
      </c>
      <c r="E19" s="58"/>
      <c r="F19" s="58"/>
      <c r="G19" s="58"/>
      <c r="H19" s="58"/>
      <c r="I19" s="58"/>
      <c r="J19" s="58"/>
      <c r="K19" s="58"/>
      <c r="L19" s="58"/>
      <c r="M19" s="59" t="s">
        <v>216</v>
      </c>
      <c r="N19" s="59">
        <f t="shared" si="0"/>
        <v>90224.82</v>
      </c>
      <c r="O19" s="60">
        <f t="shared" si="1"/>
        <v>67184.850000000006</v>
      </c>
      <c r="P19" s="60">
        <f t="shared" si="2"/>
        <v>23039.97</v>
      </c>
      <c r="Q19" s="116">
        <v>0.75</v>
      </c>
      <c r="R19" s="116">
        <v>0.3</v>
      </c>
      <c r="S19" s="62"/>
      <c r="T19" s="62"/>
      <c r="U19" s="62"/>
      <c r="V19" s="61"/>
      <c r="W19" s="58"/>
      <c r="X19" s="57" t="s">
        <v>207</v>
      </c>
      <c r="Y19" s="57">
        <v>35</v>
      </c>
      <c r="Z19" s="57" t="s">
        <v>208</v>
      </c>
      <c r="AA19" s="57">
        <v>-601.89</v>
      </c>
      <c r="AB19" s="57">
        <v>-373.63</v>
      </c>
      <c r="AC19" s="57">
        <v>59680.31</v>
      </c>
      <c r="AD19" s="57">
        <v>268.85700000000003</v>
      </c>
      <c r="AE19" s="57">
        <v>-358.42399999999998</v>
      </c>
      <c r="AF19" s="57">
        <v>-0.26400000000000001</v>
      </c>
      <c r="AH19" s="57" t="s">
        <v>207</v>
      </c>
      <c r="AI19" s="57">
        <v>35</v>
      </c>
      <c r="AJ19" s="57" t="s">
        <v>209</v>
      </c>
      <c r="AK19" s="57">
        <v>-246.41</v>
      </c>
      <c r="AL19" s="57">
        <v>-176.39</v>
      </c>
      <c r="AM19" s="57">
        <v>17091.099999999999</v>
      </c>
      <c r="AN19" s="57">
        <v>126.93</v>
      </c>
      <c r="AO19" s="57">
        <v>-146.738</v>
      </c>
      <c r="AP19" s="57">
        <v>-0.155</v>
      </c>
    </row>
    <row r="20" spans="1:42" ht="9.75" customHeight="1" x14ac:dyDescent="0.2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9" t="s">
        <v>217</v>
      </c>
      <c r="N20" s="59">
        <f t="shared" si="0"/>
        <v>92354.43</v>
      </c>
      <c r="O20" s="60">
        <f t="shared" si="1"/>
        <v>68749.149999999994</v>
      </c>
      <c r="P20" s="60">
        <f t="shared" si="2"/>
        <v>23605.279999999999</v>
      </c>
      <c r="Q20" s="116">
        <v>0.75</v>
      </c>
      <c r="R20" s="116">
        <v>0.3</v>
      </c>
      <c r="S20" s="62"/>
      <c r="T20" s="62"/>
      <c r="U20" s="62"/>
      <c r="V20" s="61"/>
      <c r="W20" s="58"/>
      <c r="X20" s="57" t="s">
        <v>207</v>
      </c>
      <c r="Y20" s="57">
        <v>36</v>
      </c>
      <c r="Z20" s="57" t="s">
        <v>208</v>
      </c>
      <c r="AA20" s="57">
        <v>-403.84</v>
      </c>
      <c r="AB20" s="57">
        <v>-527.64</v>
      </c>
      <c r="AC20" s="57">
        <v>67184.850000000006</v>
      </c>
      <c r="AD20" s="57">
        <v>379.685</v>
      </c>
      <c r="AE20" s="57">
        <v>-261.45699999999999</v>
      </c>
      <c r="AF20" s="57">
        <v>-0.19500000000000001</v>
      </c>
      <c r="AH20" s="57" t="s">
        <v>207</v>
      </c>
      <c r="AI20" s="57">
        <v>36</v>
      </c>
      <c r="AJ20" s="57" t="s">
        <v>209</v>
      </c>
      <c r="AK20" s="57">
        <v>-183.32</v>
      </c>
      <c r="AL20" s="57">
        <v>-270.08</v>
      </c>
      <c r="AM20" s="57">
        <v>23039.97</v>
      </c>
      <c r="AN20" s="57">
        <v>194.346</v>
      </c>
      <c r="AO20" s="57">
        <v>-118.687</v>
      </c>
      <c r="AP20" s="57">
        <v>-0.115</v>
      </c>
    </row>
    <row r="21" spans="1:42" x14ac:dyDescent="0.2">
      <c r="A21" s="58" t="s">
        <v>16</v>
      </c>
      <c r="B21" s="80" t="s">
        <v>17</v>
      </c>
      <c r="C21" s="58"/>
      <c r="D21" s="106" t="str">
        <f>CONCATENATE(" T = S = ",ROUND(SQRT(C23)/100,2)," x ",ROUND(SQRT(C23)/100,2)," m2")</f>
        <v xml:space="preserve"> T = S = 3.12 x 3.12 m2</v>
      </c>
      <c r="E21" s="58"/>
      <c r="F21" s="58"/>
      <c r="G21" s="58"/>
      <c r="H21" s="58"/>
      <c r="I21" s="58"/>
      <c r="J21" s="58"/>
      <c r="K21" s="58"/>
      <c r="L21" s="58"/>
      <c r="M21" s="59" t="s">
        <v>218</v>
      </c>
      <c r="N21" s="59">
        <f t="shared" si="0"/>
        <v>257019.75</v>
      </c>
      <c r="O21" s="60">
        <f t="shared" si="1"/>
        <v>183979.23</v>
      </c>
      <c r="P21" s="60">
        <f t="shared" si="2"/>
        <v>73040.52</v>
      </c>
      <c r="Q21" s="115">
        <v>0.65</v>
      </c>
      <c r="R21" s="115">
        <v>0.65</v>
      </c>
      <c r="S21" s="62"/>
      <c r="T21" s="62"/>
      <c r="U21" s="62"/>
      <c r="V21" s="61"/>
      <c r="W21" s="58"/>
      <c r="X21" s="57" t="s">
        <v>207</v>
      </c>
      <c r="Y21" s="57">
        <v>37</v>
      </c>
      <c r="Z21" s="57" t="s">
        <v>208</v>
      </c>
      <c r="AA21" s="57">
        <v>207.44</v>
      </c>
      <c r="AB21" s="57">
        <v>-584.55999999999995</v>
      </c>
      <c r="AC21" s="57">
        <v>68749.149999999994</v>
      </c>
      <c r="AD21" s="57">
        <v>420.64100000000002</v>
      </c>
      <c r="AE21" s="57">
        <v>134.303</v>
      </c>
      <c r="AF21" s="57">
        <v>-0.19500000000000001</v>
      </c>
      <c r="AH21" s="57" t="s">
        <v>207</v>
      </c>
      <c r="AI21" s="57">
        <v>37</v>
      </c>
      <c r="AJ21" s="57" t="s">
        <v>209</v>
      </c>
      <c r="AK21" s="57">
        <v>102.99</v>
      </c>
      <c r="AL21" s="57">
        <v>-297.67</v>
      </c>
      <c r="AM21" s="57">
        <v>23605.279999999999</v>
      </c>
      <c r="AN21" s="57">
        <v>214.202</v>
      </c>
      <c r="AO21" s="57">
        <v>66.679000000000002</v>
      </c>
      <c r="AP21" s="57">
        <v>-0.115</v>
      </c>
    </row>
    <row r="22" spans="1:42" ht="9" customHeight="1" x14ac:dyDescent="0.2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9" t="s">
        <v>250</v>
      </c>
      <c r="N22" s="59">
        <f t="shared" si="0"/>
        <v>251058.28000000003</v>
      </c>
      <c r="O22" s="60">
        <f t="shared" si="1"/>
        <v>179764.14</v>
      </c>
      <c r="P22" s="60">
        <f t="shared" si="2"/>
        <v>71294.14</v>
      </c>
      <c r="Q22" s="115">
        <v>0.65</v>
      </c>
      <c r="R22" s="115">
        <v>0.65</v>
      </c>
      <c r="S22" s="67"/>
      <c r="T22" s="67"/>
      <c r="U22" s="67"/>
      <c r="X22" s="57" t="s">
        <v>207</v>
      </c>
      <c r="Y22" s="57">
        <v>60</v>
      </c>
      <c r="Z22" s="57" t="s">
        <v>208</v>
      </c>
      <c r="AA22" s="57">
        <v>57.57</v>
      </c>
      <c r="AB22" s="57">
        <v>38.82</v>
      </c>
      <c r="AC22" s="57">
        <v>183979.23</v>
      </c>
      <c r="AD22" s="57">
        <v>-55.228999999999999</v>
      </c>
      <c r="AE22" s="57">
        <v>52.488999999999997</v>
      </c>
      <c r="AF22" s="57">
        <v>-0.97</v>
      </c>
      <c r="AH22" s="57" t="s">
        <v>207</v>
      </c>
      <c r="AI22" s="57">
        <v>60</v>
      </c>
      <c r="AJ22" s="57" t="s">
        <v>209</v>
      </c>
      <c r="AK22" s="57">
        <v>17.28</v>
      </c>
      <c r="AL22" s="57">
        <v>21.23</v>
      </c>
      <c r="AM22" s="57">
        <v>73040.52</v>
      </c>
      <c r="AN22" s="57">
        <v>-29.335000000000001</v>
      </c>
      <c r="AO22" s="57">
        <v>6.2329999999999997</v>
      </c>
      <c r="AP22" s="57">
        <v>-0.56999999999999995</v>
      </c>
    </row>
    <row r="23" spans="1:42" x14ac:dyDescent="0.2">
      <c r="A23" s="58"/>
      <c r="B23" s="58" t="s">
        <v>227</v>
      </c>
      <c r="C23" s="58">
        <f>SUM(B4:B5)/C19</f>
        <v>97465.644599303138</v>
      </c>
      <c r="D23" s="58" t="s">
        <v>233</v>
      </c>
      <c r="E23" s="58">
        <f>D27*D28*10000</f>
        <v>97150</v>
      </c>
      <c r="F23" s="58" t="s">
        <v>233</v>
      </c>
      <c r="G23" s="58"/>
      <c r="H23" s="58"/>
      <c r="I23" s="58"/>
      <c r="J23" s="58"/>
      <c r="K23" s="58"/>
      <c r="L23" s="58"/>
      <c r="M23" s="59" t="s">
        <v>264</v>
      </c>
      <c r="N23" s="59">
        <f t="shared" si="0"/>
        <v>252274.18</v>
      </c>
      <c r="O23" s="60">
        <f t="shared" si="1"/>
        <v>180617.32</v>
      </c>
      <c r="P23" s="60">
        <f t="shared" si="2"/>
        <v>71656.86</v>
      </c>
      <c r="Q23" s="115">
        <v>0.65</v>
      </c>
      <c r="R23" s="115">
        <v>0.65</v>
      </c>
      <c r="X23" s="57" t="s">
        <v>207</v>
      </c>
      <c r="Y23" s="57">
        <v>62</v>
      </c>
      <c r="Z23" s="57" t="s">
        <v>208</v>
      </c>
      <c r="AA23" s="57">
        <v>13.79</v>
      </c>
      <c r="AB23" s="57">
        <v>41.68</v>
      </c>
      <c r="AC23" s="57">
        <v>179764.14</v>
      </c>
      <c r="AD23" s="57">
        <v>-59.134</v>
      </c>
      <c r="AE23" s="57">
        <v>-4.9740000000000002</v>
      </c>
      <c r="AF23" s="57">
        <v>-0.97</v>
      </c>
      <c r="AH23" s="57" t="s">
        <v>207</v>
      </c>
      <c r="AI23" s="57">
        <v>62</v>
      </c>
      <c r="AJ23" s="57" t="s">
        <v>209</v>
      </c>
      <c r="AK23" s="57">
        <v>-7.25</v>
      </c>
      <c r="AL23" s="57">
        <v>21.2</v>
      </c>
      <c r="AM23" s="57">
        <v>71294.14</v>
      </c>
      <c r="AN23" s="57">
        <v>-29.292999999999999</v>
      </c>
      <c r="AO23" s="57">
        <v>-25.908000000000001</v>
      </c>
      <c r="AP23" s="57">
        <v>-0.56999999999999995</v>
      </c>
    </row>
    <row r="24" spans="1:42" ht="8.25" customHeight="1" x14ac:dyDescent="0.2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N24" s="59">
        <f t="shared" si="0"/>
        <v>241476.68</v>
      </c>
      <c r="O24" s="60">
        <f t="shared" si="1"/>
        <v>160969.41</v>
      </c>
      <c r="P24" s="60">
        <f t="shared" si="2"/>
        <v>80507.27</v>
      </c>
      <c r="Q24" s="115">
        <v>0.65</v>
      </c>
      <c r="R24" s="115">
        <v>0.65</v>
      </c>
      <c r="X24" s="57" t="s">
        <v>207</v>
      </c>
      <c r="Y24" s="57">
        <v>64</v>
      </c>
      <c r="Z24" s="57" t="s">
        <v>208</v>
      </c>
      <c r="AA24" s="57">
        <v>-176.37</v>
      </c>
      <c r="AB24" s="57">
        <v>21.28</v>
      </c>
      <c r="AC24" s="57">
        <v>180617.32</v>
      </c>
      <c r="AD24" s="57">
        <v>-31.260999999999999</v>
      </c>
      <c r="AE24" s="57">
        <v>-262.43099999999998</v>
      </c>
      <c r="AF24" s="57">
        <v>-0.97</v>
      </c>
      <c r="AH24" s="57" t="s">
        <v>207</v>
      </c>
      <c r="AI24" s="57">
        <v>64</v>
      </c>
      <c r="AJ24" s="57" t="s">
        <v>209</v>
      </c>
      <c r="AK24" s="57">
        <v>-107.66</v>
      </c>
      <c r="AL24" s="57">
        <v>10.47</v>
      </c>
      <c r="AM24" s="57">
        <v>71656.86</v>
      </c>
      <c r="AN24" s="57">
        <v>-14.625999999999999</v>
      </c>
      <c r="AO24" s="57">
        <v>-161.71700000000001</v>
      </c>
      <c r="AP24" s="57">
        <v>-0.56999999999999995</v>
      </c>
    </row>
    <row r="25" spans="1:42" x14ac:dyDescent="0.2">
      <c r="A25" s="58"/>
      <c r="B25" s="71" t="s">
        <v>20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N25" s="59">
        <f t="shared" si="0"/>
        <v>233173.53999999998</v>
      </c>
      <c r="O25" s="60">
        <f t="shared" si="1"/>
        <v>155678.81</v>
      </c>
      <c r="P25" s="60">
        <f t="shared" si="2"/>
        <v>77494.73</v>
      </c>
      <c r="Q25" s="115">
        <v>0.65</v>
      </c>
      <c r="R25" s="115">
        <v>0.65</v>
      </c>
      <c r="X25" s="57" t="s">
        <v>207</v>
      </c>
      <c r="Y25" s="57">
        <v>67</v>
      </c>
      <c r="Z25" s="57" t="s">
        <v>208</v>
      </c>
      <c r="AA25" s="57">
        <v>-231.69</v>
      </c>
      <c r="AB25" s="57">
        <v>-99.71</v>
      </c>
      <c r="AC25" s="57">
        <v>160969.41</v>
      </c>
      <c r="AD25" s="57">
        <v>154.93199999999999</v>
      </c>
      <c r="AE25" s="57">
        <v>-342.69099999999997</v>
      </c>
      <c r="AF25" s="57">
        <v>-0.97</v>
      </c>
      <c r="AH25" s="57" t="s">
        <v>207</v>
      </c>
      <c r="AI25" s="57">
        <v>67</v>
      </c>
      <c r="AJ25" s="57" t="s">
        <v>209</v>
      </c>
      <c r="AK25" s="57">
        <v>-110.38</v>
      </c>
      <c r="AL25" s="57">
        <v>-48.08</v>
      </c>
      <c r="AM25" s="57">
        <v>80507.27</v>
      </c>
      <c r="AN25" s="57">
        <v>77.646000000000001</v>
      </c>
      <c r="AO25" s="57">
        <v>-168.18700000000001</v>
      </c>
      <c r="AP25" s="57">
        <v>-0.56999999999999995</v>
      </c>
    </row>
    <row r="26" spans="1:42" x14ac:dyDescent="0.2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N26" s="59">
        <f t="shared" si="0"/>
        <v>232688.36</v>
      </c>
      <c r="O26" s="60">
        <f t="shared" si="1"/>
        <v>155330.91</v>
      </c>
      <c r="P26" s="60">
        <f t="shared" si="2"/>
        <v>77357.45</v>
      </c>
      <c r="Q26" s="115">
        <v>0.65</v>
      </c>
      <c r="R26" s="115">
        <v>0.65</v>
      </c>
      <c r="X26" s="57" t="s">
        <v>207</v>
      </c>
      <c r="Y26" s="57">
        <v>69</v>
      </c>
      <c r="Z26" s="57" t="s">
        <v>208</v>
      </c>
      <c r="AA26" s="57">
        <v>-243.25</v>
      </c>
      <c r="AB26" s="57">
        <v>42.52</v>
      </c>
      <c r="AC26" s="57">
        <v>155678.81</v>
      </c>
      <c r="AD26" s="57">
        <v>-39.378999999999998</v>
      </c>
      <c r="AE26" s="57">
        <v>-356.149</v>
      </c>
      <c r="AF26" s="57">
        <v>-0.97</v>
      </c>
      <c r="AH26" s="57" t="s">
        <v>207</v>
      </c>
      <c r="AI26" s="57">
        <v>69</v>
      </c>
      <c r="AJ26" s="57" t="s">
        <v>209</v>
      </c>
      <c r="AK26" s="57">
        <v>-116.82</v>
      </c>
      <c r="AL26" s="57">
        <v>22.18</v>
      </c>
      <c r="AM26" s="57">
        <v>77494.73</v>
      </c>
      <c r="AN26" s="57">
        <v>-18.341999999999999</v>
      </c>
      <c r="AO26" s="57">
        <v>-175.60599999999999</v>
      </c>
      <c r="AP26" s="57">
        <v>-0.56999999999999995</v>
      </c>
    </row>
    <row r="27" spans="1:42" x14ac:dyDescent="0.2">
      <c r="A27" s="58"/>
      <c r="B27" s="58" t="str">
        <f>CONCATENATE("T = ",ROUND(SQRT(C23)/100,2)+ROUND(0.5*(B8-B9),2)," m")</f>
        <v>T = 3.35 m</v>
      </c>
      <c r="C27" s="58"/>
      <c r="D27" s="105">
        <v>3.35</v>
      </c>
      <c r="E27" s="58" t="s">
        <v>8</v>
      </c>
      <c r="F27" s="58"/>
      <c r="G27" s="58"/>
      <c r="H27" s="58"/>
      <c r="I27" s="58"/>
      <c r="J27" s="58"/>
      <c r="K27" s="58"/>
      <c r="L27" s="58"/>
      <c r="N27" s="59">
        <f t="shared" si="0"/>
        <v>107187.25</v>
      </c>
      <c r="O27" s="60">
        <f t="shared" si="1"/>
        <v>84784.33</v>
      </c>
      <c r="P27" s="60">
        <f t="shared" si="2"/>
        <v>22402.92</v>
      </c>
      <c r="Q27" s="115">
        <v>0.65</v>
      </c>
      <c r="R27" s="115">
        <v>0.65</v>
      </c>
      <c r="X27" s="57" t="s">
        <v>207</v>
      </c>
      <c r="Y27" s="57">
        <v>71</v>
      </c>
      <c r="Z27" s="57" t="s">
        <v>208</v>
      </c>
      <c r="AA27" s="57">
        <v>-176.12</v>
      </c>
      <c r="AB27" s="57">
        <v>-62.58</v>
      </c>
      <c r="AC27" s="57">
        <v>155330.91</v>
      </c>
      <c r="AD27" s="57">
        <v>104.205</v>
      </c>
      <c r="AE27" s="57">
        <v>-262.09300000000002</v>
      </c>
      <c r="AF27" s="57">
        <v>-0.97</v>
      </c>
      <c r="AH27" s="57" t="s">
        <v>207</v>
      </c>
      <c r="AI27" s="57">
        <v>71</v>
      </c>
      <c r="AJ27" s="57" t="s">
        <v>209</v>
      </c>
      <c r="AK27" s="57">
        <v>-84.24</v>
      </c>
      <c r="AL27" s="57">
        <v>-32.83</v>
      </c>
      <c r="AM27" s="57">
        <v>77357.45</v>
      </c>
      <c r="AN27" s="57">
        <v>56.814999999999998</v>
      </c>
      <c r="AO27" s="57">
        <v>-129.715</v>
      </c>
      <c r="AP27" s="57">
        <v>-0.56999999999999995</v>
      </c>
    </row>
    <row r="28" spans="1:42" x14ac:dyDescent="0.2">
      <c r="A28" s="58"/>
      <c r="B28" s="58" t="str">
        <f>CONCATENATE("S = ",ROUND(SQRT(C23)/100,2)-ROUND(0.5*(B8-B9),2)," m")</f>
        <v>S = 2.89 m</v>
      </c>
      <c r="C28" s="58"/>
      <c r="D28" s="105">
        <v>2.9</v>
      </c>
      <c r="E28" s="58" t="s">
        <v>8</v>
      </c>
      <c r="F28" s="58"/>
      <c r="G28" s="58"/>
      <c r="H28" s="58"/>
      <c r="I28" s="58"/>
      <c r="J28" s="58"/>
      <c r="K28" s="58"/>
      <c r="L28" s="58"/>
      <c r="N28" s="59">
        <f t="shared" si="0"/>
        <v>115782.79000000001</v>
      </c>
      <c r="O28" s="60">
        <f t="shared" si="1"/>
        <v>89227.83</v>
      </c>
      <c r="P28" s="60">
        <f t="shared" si="2"/>
        <v>26554.959999999999</v>
      </c>
      <c r="Q28" s="115">
        <v>0.65</v>
      </c>
      <c r="R28" s="115">
        <v>0.65</v>
      </c>
      <c r="X28" s="57" t="s">
        <v>207</v>
      </c>
      <c r="Y28" s="57">
        <v>72</v>
      </c>
      <c r="Z28" s="57" t="s">
        <v>208</v>
      </c>
      <c r="AA28" s="57">
        <v>15537.45</v>
      </c>
      <c r="AB28" s="57">
        <v>158.82</v>
      </c>
      <c r="AC28" s="57">
        <v>84784.33</v>
      </c>
      <c r="AD28" s="57">
        <v>-285.50700000000001</v>
      </c>
      <c r="AE28" s="57">
        <v>-692.35400000000004</v>
      </c>
      <c r="AF28" s="57">
        <v>-17.108000000000001</v>
      </c>
      <c r="AH28" s="57" t="s">
        <v>207</v>
      </c>
      <c r="AI28" s="57">
        <v>72</v>
      </c>
      <c r="AJ28" s="57" t="s">
        <v>209</v>
      </c>
      <c r="AK28" s="57">
        <v>4059</v>
      </c>
      <c r="AL28" s="57">
        <v>40.97</v>
      </c>
      <c r="AM28" s="57">
        <v>22402.92</v>
      </c>
      <c r="AN28" s="57">
        <v>-35.603000000000002</v>
      </c>
      <c r="AO28" s="57">
        <v>-353.24099999999999</v>
      </c>
      <c r="AP28" s="57">
        <v>1.621</v>
      </c>
    </row>
    <row r="29" spans="1:42" ht="11.25" customHeight="1" x14ac:dyDescent="0.2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N29" s="59">
        <f t="shared" si="0"/>
        <v>118224.83</v>
      </c>
      <c r="O29" s="60">
        <f t="shared" si="1"/>
        <v>93172.28</v>
      </c>
      <c r="P29" s="60">
        <f t="shared" si="2"/>
        <v>25052.55</v>
      </c>
      <c r="Q29" s="115">
        <v>0.65</v>
      </c>
      <c r="R29" s="115">
        <v>0.65</v>
      </c>
      <c r="X29" s="57" t="s">
        <v>207</v>
      </c>
      <c r="Y29" s="57">
        <v>73</v>
      </c>
      <c r="Z29" s="57" t="s">
        <v>208</v>
      </c>
      <c r="AA29" s="57">
        <v>-16042.01</v>
      </c>
      <c r="AB29" s="57">
        <v>1086.42</v>
      </c>
      <c r="AC29" s="57">
        <v>89227.83</v>
      </c>
      <c r="AD29" s="57">
        <v>-2241.4969999999998</v>
      </c>
      <c r="AE29" s="57">
        <v>1165.386</v>
      </c>
      <c r="AF29" s="57">
        <v>94.150999999999996</v>
      </c>
      <c r="AH29" s="57" t="s">
        <v>207</v>
      </c>
      <c r="AI29" s="57">
        <v>73</v>
      </c>
      <c r="AJ29" s="57" t="s">
        <v>209</v>
      </c>
      <c r="AK29" s="57">
        <v>-4551.42</v>
      </c>
      <c r="AL29" s="57">
        <v>401.67</v>
      </c>
      <c r="AM29" s="57">
        <v>26554.959999999999</v>
      </c>
      <c r="AN29" s="57">
        <v>-812.58699999999999</v>
      </c>
      <c r="AO29" s="57">
        <v>603.05100000000004</v>
      </c>
      <c r="AP29" s="57">
        <v>34.277999999999999</v>
      </c>
    </row>
    <row r="30" spans="1:42" x14ac:dyDescent="0.2">
      <c r="A30" s="58"/>
      <c r="B30" s="64" t="s">
        <v>23</v>
      </c>
      <c r="C30" s="68">
        <f>ROUND(0.5*(D27-B8),3)</f>
        <v>1.3</v>
      </c>
      <c r="D30" s="58" t="s">
        <v>8</v>
      </c>
      <c r="E30" s="58"/>
      <c r="F30" s="58"/>
      <c r="G30" s="58"/>
      <c r="H30" s="58"/>
      <c r="I30" s="58"/>
      <c r="J30" s="58"/>
      <c r="K30" s="58"/>
      <c r="L30" s="58"/>
      <c r="N30" s="59">
        <f t="shared" si="0"/>
        <v>137399.97999999998</v>
      </c>
      <c r="O30" s="60">
        <f t="shared" si="1"/>
        <v>104783.2</v>
      </c>
      <c r="P30" s="60">
        <f t="shared" si="2"/>
        <v>32616.78</v>
      </c>
      <c r="Q30" s="115">
        <v>0.65</v>
      </c>
      <c r="R30" s="115">
        <v>0.65</v>
      </c>
      <c r="X30" s="57" t="s">
        <v>207</v>
      </c>
      <c r="Y30" s="57">
        <v>76</v>
      </c>
      <c r="Z30" s="57" t="s">
        <v>208</v>
      </c>
      <c r="AA30" s="57">
        <v>17348.48</v>
      </c>
      <c r="AB30" s="57">
        <v>-925.02</v>
      </c>
      <c r="AC30" s="57">
        <v>93172.28</v>
      </c>
      <c r="AD30" s="57">
        <v>1206.807</v>
      </c>
      <c r="AE30" s="57">
        <v>-822.37199999999996</v>
      </c>
      <c r="AF30" s="57">
        <v>-19.995999999999999</v>
      </c>
      <c r="AH30" s="57" t="s">
        <v>207</v>
      </c>
      <c r="AI30" s="57">
        <v>76</v>
      </c>
      <c r="AJ30" s="57" t="s">
        <v>209</v>
      </c>
      <c r="AK30" s="57">
        <v>4631.58</v>
      </c>
      <c r="AL30" s="57">
        <v>-486.34</v>
      </c>
      <c r="AM30" s="57">
        <v>25052.55</v>
      </c>
      <c r="AN30" s="57">
        <v>604.63599999999997</v>
      </c>
      <c r="AO30" s="57">
        <v>-411.36799999999999</v>
      </c>
      <c r="AP30" s="57">
        <v>-14.561999999999999</v>
      </c>
    </row>
    <row r="31" spans="1:42" x14ac:dyDescent="0.2">
      <c r="A31" s="58"/>
      <c r="B31" s="64" t="s">
        <v>24</v>
      </c>
      <c r="C31" s="68">
        <f>ROUND(0.5*(D28-B9),3)</f>
        <v>1.3</v>
      </c>
      <c r="D31" s="58" t="s">
        <v>8</v>
      </c>
      <c r="E31" s="104" t="str">
        <f>IF(C30=C31,"Conforme","Verificar Medidas")</f>
        <v>Conforme</v>
      </c>
      <c r="F31" s="58"/>
      <c r="G31" s="58"/>
      <c r="H31" s="58"/>
      <c r="I31" s="58"/>
      <c r="J31" s="58"/>
      <c r="K31" s="58"/>
      <c r="L31" s="58"/>
      <c r="N31" s="59">
        <f t="shared" si="0"/>
        <v>124091.5</v>
      </c>
      <c r="O31" s="60">
        <f t="shared" si="1"/>
        <v>91731.45</v>
      </c>
      <c r="P31" s="60">
        <f t="shared" si="2"/>
        <v>32360.05</v>
      </c>
      <c r="Q31" s="115">
        <v>0.65</v>
      </c>
      <c r="R31" s="115">
        <v>0.65</v>
      </c>
      <c r="X31" s="57" t="s">
        <v>207</v>
      </c>
      <c r="Y31" s="57">
        <v>77</v>
      </c>
      <c r="Z31" s="57" t="s">
        <v>208</v>
      </c>
      <c r="AA31" s="57">
        <v>-18681.27</v>
      </c>
      <c r="AB31" s="57">
        <v>-1388.79</v>
      </c>
      <c r="AC31" s="57">
        <v>104783.2</v>
      </c>
      <c r="AD31" s="57">
        <v>2276.9290000000001</v>
      </c>
      <c r="AE31" s="57">
        <v>1321.682</v>
      </c>
      <c r="AF31" s="57">
        <v>-58.432000000000002</v>
      </c>
      <c r="AH31" s="57" t="s">
        <v>207</v>
      </c>
      <c r="AI31" s="57">
        <v>77</v>
      </c>
      <c r="AJ31" s="57" t="s">
        <v>209</v>
      </c>
      <c r="AK31" s="57">
        <v>-5565.29</v>
      </c>
      <c r="AL31" s="57">
        <v>-804.7</v>
      </c>
      <c r="AM31" s="57">
        <v>32616.78</v>
      </c>
      <c r="AN31" s="57">
        <v>1343.473</v>
      </c>
      <c r="AO31" s="57">
        <v>679.27200000000005</v>
      </c>
      <c r="AP31" s="57">
        <v>-40.228999999999999</v>
      </c>
    </row>
    <row r="32" spans="1:42" x14ac:dyDescent="0.2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N32" s="59">
        <f t="shared" si="0"/>
        <v>130545.66</v>
      </c>
      <c r="O32" s="60">
        <f t="shared" si="1"/>
        <v>94627.62</v>
      </c>
      <c r="P32" s="60">
        <f t="shared" si="2"/>
        <v>35918.04</v>
      </c>
      <c r="Q32" s="115">
        <v>0.65</v>
      </c>
      <c r="R32" s="115">
        <v>0.65</v>
      </c>
      <c r="X32" s="57" t="s">
        <v>207</v>
      </c>
      <c r="Y32" s="57">
        <v>78</v>
      </c>
      <c r="Z32" s="57" t="s">
        <v>208</v>
      </c>
      <c r="AA32" s="57">
        <v>16685.689999999999</v>
      </c>
      <c r="AB32" s="57">
        <v>-65.069999999999993</v>
      </c>
      <c r="AC32" s="57">
        <v>91731.45</v>
      </c>
      <c r="AD32" s="57">
        <v>19.477</v>
      </c>
      <c r="AE32" s="57">
        <v>-1301.4590000000001</v>
      </c>
      <c r="AF32" s="57">
        <v>-18.573</v>
      </c>
      <c r="AH32" s="57" t="s">
        <v>207</v>
      </c>
      <c r="AI32" s="57">
        <v>78</v>
      </c>
      <c r="AJ32" s="57" t="s">
        <v>209</v>
      </c>
      <c r="AK32" s="57">
        <v>5909.83</v>
      </c>
      <c r="AL32" s="57">
        <v>14.61</v>
      </c>
      <c r="AM32" s="57">
        <v>32360.05</v>
      </c>
      <c r="AN32" s="57">
        <v>-80.775000000000006</v>
      </c>
      <c r="AO32" s="57">
        <v>-654.65099999999995</v>
      </c>
      <c r="AP32" s="57">
        <v>-14.975</v>
      </c>
    </row>
    <row r="33" spans="1:42" x14ac:dyDescent="0.2">
      <c r="A33" s="58" t="s">
        <v>25</v>
      </c>
      <c r="B33" s="71" t="s">
        <v>26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N33" s="59">
        <f t="shared" si="0"/>
        <v>127333.01</v>
      </c>
      <c r="O33" s="60">
        <f t="shared" si="1"/>
        <v>93921.98</v>
      </c>
      <c r="P33" s="60">
        <f t="shared" si="2"/>
        <v>33411.03</v>
      </c>
      <c r="Q33" s="115">
        <v>0.65</v>
      </c>
      <c r="R33" s="115">
        <v>0.65</v>
      </c>
      <c r="X33" s="57" t="s">
        <v>207</v>
      </c>
      <c r="Y33" s="57">
        <v>79</v>
      </c>
      <c r="Z33" s="57" t="s">
        <v>208</v>
      </c>
      <c r="AA33" s="57">
        <v>-18180.64</v>
      </c>
      <c r="AB33" s="57">
        <v>-222.26</v>
      </c>
      <c r="AC33" s="57">
        <v>94627.62</v>
      </c>
      <c r="AD33" s="57">
        <v>449.10300000000001</v>
      </c>
      <c r="AE33" s="57">
        <v>370.39299999999997</v>
      </c>
      <c r="AF33" s="57">
        <v>-18.931000000000001</v>
      </c>
      <c r="AH33" s="57" t="s">
        <v>207</v>
      </c>
      <c r="AI33" s="57">
        <v>79</v>
      </c>
      <c r="AJ33" s="57" t="s">
        <v>209</v>
      </c>
      <c r="AK33" s="57">
        <v>-7005.12</v>
      </c>
      <c r="AL33" s="57">
        <v>-116.28</v>
      </c>
      <c r="AM33" s="57">
        <v>35918.04</v>
      </c>
      <c r="AN33" s="57">
        <v>256.87099999999998</v>
      </c>
      <c r="AO33" s="57">
        <v>193.47</v>
      </c>
      <c r="AP33" s="57">
        <v>-12.933999999999999</v>
      </c>
    </row>
    <row r="34" spans="1:42" ht="3.75" customHeight="1" x14ac:dyDescent="0.2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N34" s="59">
        <f t="shared" si="0"/>
        <v>135847.67999999999</v>
      </c>
      <c r="O34" s="60">
        <f t="shared" si="1"/>
        <v>98069.96</v>
      </c>
      <c r="P34" s="60">
        <f t="shared" si="2"/>
        <v>37777.72</v>
      </c>
      <c r="Q34" s="115">
        <v>0.65</v>
      </c>
      <c r="R34" s="115">
        <v>0.65</v>
      </c>
      <c r="X34" s="57" t="s">
        <v>207</v>
      </c>
      <c r="Y34" s="57">
        <v>80</v>
      </c>
      <c r="Z34" s="57" t="s">
        <v>208</v>
      </c>
      <c r="AA34" s="57">
        <v>17100.79</v>
      </c>
      <c r="AB34" s="57">
        <v>-637.52</v>
      </c>
      <c r="AC34" s="57">
        <v>93921.98</v>
      </c>
      <c r="AD34" s="57">
        <v>1049.105</v>
      </c>
      <c r="AE34" s="57">
        <v>-1353.9639999999999</v>
      </c>
      <c r="AF34" s="57">
        <v>24.614999999999998</v>
      </c>
      <c r="AH34" s="57" t="s">
        <v>207</v>
      </c>
      <c r="AI34" s="57">
        <v>80</v>
      </c>
      <c r="AJ34" s="57" t="s">
        <v>209</v>
      </c>
      <c r="AK34" s="57">
        <v>6113.75</v>
      </c>
      <c r="AL34" s="57">
        <v>-384.18</v>
      </c>
      <c r="AM34" s="57">
        <v>33411.03</v>
      </c>
      <c r="AN34" s="57">
        <v>656.79300000000001</v>
      </c>
      <c r="AO34" s="57">
        <v>-679.73599999999999</v>
      </c>
      <c r="AP34" s="57">
        <v>19.75</v>
      </c>
    </row>
    <row r="35" spans="1:42" x14ac:dyDescent="0.2">
      <c r="A35" s="58"/>
      <c r="B35" s="64" t="s">
        <v>234</v>
      </c>
      <c r="C35" s="61">
        <f>HLOOKUP(D2,Parametros!B8:C10,2,FALSE)*B4+HLOOKUP(D2,Parametros!B8:C10,3,FALSE)*B5</f>
        <v>72545.279999999999</v>
      </c>
      <c r="D35" s="58" t="s">
        <v>7</v>
      </c>
      <c r="E35" s="58"/>
      <c r="F35" s="58"/>
      <c r="G35" s="58"/>
      <c r="H35" s="58"/>
      <c r="I35" s="58"/>
      <c r="J35" s="58"/>
      <c r="K35" s="58"/>
      <c r="L35" s="58"/>
      <c r="N35" s="59">
        <f t="shared" si="0"/>
        <v>162862.09</v>
      </c>
      <c r="O35" s="60">
        <f t="shared" si="1"/>
        <v>120942.38</v>
      </c>
      <c r="P35" s="60">
        <f t="shared" si="2"/>
        <v>41919.71</v>
      </c>
      <c r="Q35" s="115">
        <v>0.65</v>
      </c>
      <c r="R35" s="115">
        <v>0.65</v>
      </c>
      <c r="X35" s="57" t="s">
        <v>207</v>
      </c>
      <c r="Y35" s="57">
        <v>81</v>
      </c>
      <c r="Z35" s="57" t="s">
        <v>208</v>
      </c>
      <c r="AA35" s="57">
        <v>-18800.240000000002</v>
      </c>
      <c r="AB35" s="57">
        <v>-349.81</v>
      </c>
      <c r="AC35" s="57">
        <v>98069.96</v>
      </c>
      <c r="AD35" s="57">
        <v>478.12099999999998</v>
      </c>
      <c r="AE35" s="57">
        <v>405.82100000000003</v>
      </c>
      <c r="AF35" s="57">
        <v>5.3090000000000002</v>
      </c>
      <c r="AH35" s="57" t="s">
        <v>207</v>
      </c>
      <c r="AI35" s="57">
        <v>81</v>
      </c>
      <c r="AJ35" s="57" t="s">
        <v>209</v>
      </c>
      <c r="AK35" s="57">
        <v>-7339.2</v>
      </c>
      <c r="AL35" s="57">
        <v>-167.16</v>
      </c>
      <c r="AM35" s="57">
        <v>37777.72</v>
      </c>
      <c r="AN35" s="57">
        <v>199.203</v>
      </c>
      <c r="AO35" s="57">
        <v>211.77600000000001</v>
      </c>
      <c r="AP35" s="57">
        <v>7.7130000000000001</v>
      </c>
    </row>
    <row r="36" spans="1:42" x14ac:dyDescent="0.2">
      <c r="A36" s="58"/>
      <c r="B36" s="64" t="s">
        <v>227</v>
      </c>
      <c r="C36" s="61">
        <f>PRODUCT(D27:D28)*10000</f>
        <v>97150</v>
      </c>
      <c r="D36" s="58" t="s">
        <v>233</v>
      </c>
      <c r="E36" s="58"/>
      <c r="F36" s="58"/>
      <c r="G36" s="58"/>
      <c r="H36" s="58"/>
      <c r="I36" s="58"/>
      <c r="J36" s="58"/>
      <c r="K36" s="58"/>
      <c r="L36" s="58"/>
      <c r="N36" s="59">
        <f t="shared" si="0"/>
        <v>240253.09</v>
      </c>
      <c r="O36" s="60">
        <f t="shared" si="1"/>
        <v>174811.97</v>
      </c>
      <c r="P36" s="60">
        <f t="shared" si="2"/>
        <v>65441.120000000003</v>
      </c>
      <c r="Q36" s="115">
        <v>0.65</v>
      </c>
      <c r="R36" s="115">
        <v>0.65</v>
      </c>
      <c r="X36" s="57" t="s">
        <v>207</v>
      </c>
      <c r="Y36" s="57">
        <v>93</v>
      </c>
      <c r="Z36" s="57" t="s">
        <v>208</v>
      </c>
      <c r="AA36" s="57">
        <v>4516.91</v>
      </c>
      <c r="AB36" s="57">
        <v>1045.51</v>
      </c>
      <c r="AC36" s="57">
        <v>120942.38</v>
      </c>
      <c r="AD36" s="57">
        <v>-1429.826</v>
      </c>
      <c r="AE36" s="57">
        <v>6108.6120000000001</v>
      </c>
      <c r="AF36" s="57">
        <v>-0.97</v>
      </c>
      <c r="AH36" s="57" t="s">
        <v>207</v>
      </c>
      <c r="AI36" s="57">
        <v>93</v>
      </c>
      <c r="AJ36" s="57" t="s">
        <v>209</v>
      </c>
      <c r="AK36" s="57">
        <v>2143.83</v>
      </c>
      <c r="AL36" s="57">
        <v>506.98</v>
      </c>
      <c r="AM36" s="57">
        <v>41919.71</v>
      </c>
      <c r="AN36" s="57">
        <v>-693.33100000000002</v>
      </c>
      <c r="AO36" s="57">
        <v>2894.0259999999998</v>
      </c>
      <c r="AP36" s="57">
        <v>-0.56999999999999995</v>
      </c>
    </row>
    <row r="37" spans="1:42" x14ac:dyDescent="0.2">
      <c r="A37" s="58"/>
      <c r="B37" s="64" t="s">
        <v>235</v>
      </c>
      <c r="C37" s="90">
        <f>C35/C36</f>
        <v>0.74673474009264018</v>
      </c>
      <c r="D37" s="58" t="s">
        <v>231</v>
      </c>
      <c r="E37" s="58"/>
      <c r="F37" s="58"/>
      <c r="G37" s="58"/>
      <c r="H37" s="58"/>
      <c r="I37" s="58"/>
      <c r="J37" s="58"/>
      <c r="K37" s="58"/>
      <c r="L37" s="58"/>
      <c r="N37" s="59">
        <f t="shared" si="0"/>
        <v>210073.31</v>
      </c>
      <c r="O37" s="60">
        <f t="shared" si="1"/>
        <v>150495.06</v>
      </c>
      <c r="P37" s="60">
        <f t="shared" si="2"/>
        <v>59578.25</v>
      </c>
      <c r="Q37" s="115">
        <v>0.65</v>
      </c>
      <c r="R37" s="115">
        <v>0.65</v>
      </c>
      <c r="X37" s="57" t="s">
        <v>207</v>
      </c>
      <c r="Y37" s="57">
        <v>94</v>
      </c>
      <c r="Z37" s="57" t="s">
        <v>208</v>
      </c>
      <c r="AA37" s="57">
        <v>-2327.8000000000002</v>
      </c>
      <c r="AB37" s="57">
        <v>-646.24</v>
      </c>
      <c r="AC37" s="57">
        <v>174811.97</v>
      </c>
      <c r="AD37" s="57">
        <v>868.82500000000005</v>
      </c>
      <c r="AE37" s="57">
        <v>-3189.12</v>
      </c>
      <c r="AF37" s="57">
        <v>-0.97</v>
      </c>
      <c r="AH37" s="57" t="s">
        <v>207</v>
      </c>
      <c r="AI37" s="57">
        <v>94</v>
      </c>
      <c r="AJ37" s="57" t="s">
        <v>209</v>
      </c>
      <c r="AK37" s="57">
        <v>-1008.34</v>
      </c>
      <c r="AL37" s="57">
        <v>-259.45999999999998</v>
      </c>
      <c r="AM37" s="57">
        <v>65441.120000000003</v>
      </c>
      <c r="AN37" s="57">
        <v>348.06700000000001</v>
      </c>
      <c r="AO37" s="57">
        <v>-1387.5129999999999</v>
      </c>
      <c r="AP37" s="57">
        <v>-0.56999999999999995</v>
      </c>
    </row>
    <row r="38" spans="1:42" ht="9.75" customHeight="1" x14ac:dyDescent="0.2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N38" s="59">
        <f t="shared" si="0"/>
        <v>199299.88</v>
      </c>
      <c r="O38" s="60">
        <f t="shared" si="1"/>
        <v>142970.49</v>
      </c>
      <c r="P38" s="60">
        <f t="shared" si="2"/>
        <v>56329.39</v>
      </c>
      <c r="Q38" s="115">
        <v>0.65</v>
      </c>
      <c r="R38" s="115">
        <v>0.65</v>
      </c>
      <c r="X38" s="57" t="s">
        <v>207</v>
      </c>
      <c r="Y38" s="57">
        <v>95</v>
      </c>
      <c r="Z38" s="57" t="s">
        <v>208</v>
      </c>
      <c r="AA38" s="57">
        <v>339.36</v>
      </c>
      <c r="AB38" s="57">
        <v>15.62</v>
      </c>
      <c r="AC38" s="57">
        <v>150495.06</v>
      </c>
      <c r="AD38" s="57">
        <v>-30.556999999999999</v>
      </c>
      <c r="AE38" s="57">
        <v>439.81799999999998</v>
      </c>
      <c r="AF38" s="57">
        <v>-0.97</v>
      </c>
      <c r="AH38" s="57" t="s">
        <v>207</v>
      </c>
      <c r="AI38" s="57">
        <v>95</v>
      </c>
      <c r="AJ38" s="57" t="s">
        <v>209</v>
      </c>
      <c r="AK38" s="57">
        <v>177.31</v>
      </c>
      <c r="AL38" s="57">
        <v>8.7200000000000006</v>
      </c>
      <c r="AM38" s="57">
        <v>59578.25</v>
      </c>
      <c r="AN38" s="57">
        <v>-16.367000000000001</v>
      </c>
      <c r="AO38" s="57">
        <v>226.238</v>
      </c>
      <c r="AP38" s="57">
        <v>-0.56999999999999995</v>
      </c>
    </row>
    <row r="39" spans="1:42" x14ac:dyDescent="0.2">
      <c r="A39" s="58" t="s">
        <v>27</v>
      </c>
      <c r="B39" s="76" t="s">
        <v>28</v>
      </c>
      <c r="C39" s="58"/>
      <c r="D39" s="58"/>
      <c r="E39" s="58"/>
      <c r="F39" s="58"/>
      <c r="G39" s="58"/>
      <c r="H39" s="58"/>
      <c r="I39" s="58"/>
      <c r="J39" s="58"/>
      <c r="K39" s="58"/>
      <c r="L39" s="58"/>
      <c r="N39" s="59">
        <f t="shared" si="0"/>
        <v>189807.49</v>
      </c>
      <c r="O39" s="60">
        <f t="shared" si="1"/>
        <v>136509.75</v>
      </c>
      <c r="P39" s="60">
        <f t="shared" si="2"/>
        <v>53297.74</v>
      </c>
      <c r="Q39" s="115">
        <v>0.65</v>
      </c>
      <c r="R39" s="115">
        <v>0.65</v>
      </c>
      <c r="X39" s="57" t="s">
        <v>207</v>
      </c>
      <c r="Y39" s="57">
        <v>96</v>
      </c>
      <c r="Z39" s="57" t="s">
        <v>208</v>
      </c>
      <c r="AA39" s="57">
        <v>508.94</v>
      </c>
      <c r="AB39" s="57">
        <v>34.79</v>
      </c>
      <c r="AC39" s="57">
        <v>142970.49</v>
      </c>
      <c r="AD39" s="57">
        <v>-56.741</v>
      </c>
      <c r="AE39" s="57">
        <v>673.84100000000001</v>
      </c>
      <c r="AF39" s="57">
        <v>-0.97</v>
      </c>
      <c r="AH39" s="57" t="s">
        <v>207</v>
      </c>
      <c r="AI39" s="57">
        <v>96</v>
      </c>
      <c r="AJ39" s="57" t="s">
        <v>209</v>
      </c>
      <c r="AK39" s="57">
        <v>259.02999999999997</v>
      </c>
      <c r="AL39" s="57">
        <v>17.600000000000001</v>
      </c>
      <c r="AM39" s="57">
        <v>56329.39</v>
      </c>
      <c r="AN39" s="57">
        <v>-28.498000000000001</v>
      </c>
      <c r="AO39" s="57">
        <v>339.25599999999997</v>
      </c>
      <c r="AP39" s="57">
        <v>-0.56999999999999995</v>
      </c>
    </row>
    <row r="40" spans="1:42" ht="8.25" customHeight="1" x14ac:dyDescent="0.2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N40" s="59">
        <f t="shared" si="0"/>
        <v>195740.38</v>
      </c>
      <c r="O40" s="60">
        <f t="shared" si="1"/>
        <v>141356.79</v>
      </c>
      <c r="P40" s="60">
        <f t="shared" si="2"/>
        <v>54383.59</v>
      </c>
      <c r="Q40" s="115">
        <v>0.65</v>
      </c>
      <c r="R40" s="115">
        <v>0.65</v>
      </c>
      <c r="X40" s="57" t="s">
        <v>207</v>
      </c>
      <c r="Y40" s="57">
        <v>97</v>
      </c>
      <c r="Z40" s="57" t="s">
        <v>208</v>
      </c>
      <c r="AA40" s="57">
        <v>552.16</v>
      </c>
      <c r="AB40" s="57">
        <v>-84.89</v>
      </c>
      <c r="AC40" s="57">
        <v>136509.75</v>
      </c>
      <c r="AD40" s="57">
        <v>106.753</v>
      </c>
      <c r="AE40" s="57">
        <v>735.22400000000005</v>
      </c>
      <c r="AF40" s="57">
        <v>-0.97</v>
      </c>
      <c r="AH40" s="57" t="s">
        <v>207</v>
      </c>
      <c r="AI40" s="57">
        <v>97</v>
      </c>
      <c r="AJ40" s="57" t="s">
        <v>209</v>
      </c>
      <c r="AK40" s="57">
        <v>279.47000000000003</v>
      </c>
      <c r="AL40" s="57">
        <v>-42.2</v>
      </c>
      <c r="AM40" s="57">
        <v>53297.74</v>
      </c>
      <c r="AN40" s="57">
        <v>53.203000000000003</v>
      </c>
      <c r="AO40" s="57">
        <v>368.56799999999998</v>
      </c>
      <c r="AP40" s="57">
        <v>-0.56999999999999995</v>
      </c>
    </row>
    <row r="41" spans="1:42" x14ac:dyDescent="0.2">
      <c r="A41" s="58"/>
      <c r="B41" s="71" t="s">
        <v>43</v>
      </c>
      <c r="C41" s="58"/>
      <c r="D41" s="58"/>
      <c r="E41" s="58"/>
      <c r="F41" s="58"/>
      <c r="G41" s="58"/>
      <c r="H41" s="58"/>
      <c r="I41" s="58"/>
      <c r="J41" s="58"/>
      <c r="K41" s="58"/>
      <c r="L41" s="58"/>
      <c r="N41" s="59">
        <f t="shared" si="0"/>
        <v>214978.91</v>
      </c>
      <c r="O41" s="60">
        <f t="shared" si="1"/>
        <v>154124.09</v>
      </c>
      <c r="P41" s="60">
        <f t="shared" si="2"/>
        <v>60854.82</v>
      </c>
      <c r="Q41" s="115">
        <v>0.65</v>
      </c>
      <c r="R41" s="115">
        <v>0.65</v>
      </c>
      <c r="X41" s="57" t="s">
        <v>207</v>
      </c>
      <c r="Y41" s="57">
        <v>98</v>
      </c>
      <c r="Z41" s="57" t="s">
        <v>208</v>
      </c>
      <c r="AA41" s="57">
        <v>-104.86</v>
      </c>
      <c r="AB41" s="57">
        <v>236.57</v>
      </c>
      <c r="AC41" s="57">
        <v>141356.79</v>
      </c>
      <c r="AD41" s="57">
        <v>-327.166</v>
      </c>
      <c r="AE41" s="57">
        <v>-171.14699999999999</v>
      </c>
      <c r="AF41" s="57">
        <v>-0.97</v>
      </c>
      <c r="AH41" s="57" t="s">
        <v>207</v>
      </c>
      <c r="AI41" s="57">
        <v>98</v>
      </c>
      <c r="AJ41" s="57" t="s">
        <v>209</v>
      </c>
      <c r="AK41" s="57">
        <v>-50.24</v>
      </c>
      <c r="AL41" s="57">
        <v>125.47</v>
      </c>
      <c r="AM41" s="57">
        <v>54383.59</v>
      </c>
      <c r="AN41" s="57">
        <v>-172.886</v>
      </c>
      <c r="AO41" s="57">
        <v>-87.123000000000005</v>
      </c>
      <c r="AP41" s="57">
        <v>-0.56999999999999995</v>
      </c>
    </row>
    <row r="42" spans="1:42" x14ac:dyDescent="0.2">
      <c r="A42" s="58"/>
      <c r="B42" s="58"/>
      <c r="C42" s="58"/>
      <c r="D42" s="98" t="s">
        <v>29</v>
      </c>
      <c r="E42" s="76">
        <f>HLOOKUP(D2,Parametros!B2:C5,4,FALSE)</f>
        <v>0.75</v>
      </c>
      <c r="F42" s="58"/>
      <c r="G42" s="58"/>
      <c r="H42" s="58"/>
      <c r="I42" s="58"/>
      <c r="J42" s="58"/>
      <c r="K42" s="58"/>
      <c r="L42" s="58"/>
      <c r="N42" s="59">
        <f t="shared" si="0"/>
        <v>224748.87</v>
      </c>
      <c r="O42" s="60">
        <f t="shared" si="1"/>
        <v>163113.19</v>
      </c>
      <c r="P42" s="60">
        <f t="shared" si="2"/>
        <v>61635.68</v>
      </c>
      <c r="Q42" s="115">
        <v>0.65</v>
      </c>
      <c r="R42" s="115">
        <v>0.65</v>
      </c>
      <c r="X42" s="57" t="s">
        <v>207</v>
      </c>
      <c r="Y42" s="57">
        <v>99</v>
      </c>
      <c r="Z42" s="57" t="s">
        <v>208</v>
      </c>
      <c r="AA42" s="57">
        <v>-33.4</v>
      </c>
      <c r="AB42" s="57">
        <v>-14.84</v>
      </c>
      <c r="AC42" s="57">
        <v>154124.09</v>
      </c>
      <c r="AD42" s="57">
        <v>14.574</v>
      </c>
      <c r="AE42" s="57">
        <v>-64.768000000000001</v>
      </c>
      <c r="AF42" s="57">
        <v>-0.97</v>
      </c>
      <c r="AH42" s="57" t="s">
        <v>207</v>
      </c>
      <c r="AI42" s="57">
        <v>99</v>
      </c>
      <c r="AJ42" s="57" t="s">
        <v>209</v>
      </c>
      <c r="AK42" s="57">
        <v>-16.61</v>
      </c>
      <c r="AL42" s="57">
        <v>-9.09</v>
      </c>
      <c r="AM42" s="57">
        <v>60854.82</v>
      </c>
      <c r="AN42" s="57">
        <v>10.029</v>
      </c>
      <c r="AO42" s="57">
        <v>-35.942999999999998</v>
      </c>
      <c r="AP42" s="57">
        <v>-0.56999999999999995</v>
      </c>
    </row>
    <row r="43" spans="1:42" x14ac:dyDescent="0.2">
      <c r="A43" s="58"/>
      <c r="B43" s="64" t="s">
        <v>30</v>
      </c>
      <c r="C43" s="58" t="str">
        <f>CONCATENATE(C35," - ",ROUND(C37,2),"(",B8*100," + d)(",B9*100," + d)")</f>
        <v>72545.28 - 0.75(75 + d)(30 + d)</v>
      </c>
      <c r="D43" s="58"/>
      <c r="E43" s="58"/>
      <c r="F43" s="58"/>
      <c r="G43" s="58"/>
      <c r="H43" s="58"/>
      <c r="I43" s="58"/>
      <c r="J43" s="58"/>
      <c r="K43" s="58"/>
      <c r="L43" s="58"/>
      <c r="N43" s="59">
        <f t="shared" si="0"/>
        <v>246452.90000000002</v>
      </c>
      <c r="O43" s="60">
        <f t="shared" si="1"/>
        <v>177552.17</v>
      </c>
      <c r="P43" s="60">
        <f t="shared" si="2"/>
        <v>68900.73</v>
      </c>
      <c r="Q43" s="115">
        <v>0.65</v>
      </c>
      <c r="R43" s="115">
        <v>0.65</v>
      </c>
      <c r="X43" s="57" t="s">
        <v>207</v>
      </c>
      <c r="Y43" s="57">
        <v>100</v>
      </c>
      <c r="Z43" s="57" t="s">
        <v>208</v>
      </c>
      <c r="AA43" s="57">
        <v>-1401.52</v>
      </c>
      <c r="AB43" s="57">
        <v>577.41</v>
      </c>
      <c r="AC43" s="57">
        <v>163113.19</v>
      </c>
      <c r="AD43" s="57">
        <v>-786.74099999999999</v>
      </c>
      <c r="AE43" s="57">
        <v>-1932.9649999999999</v>
      </c>
      <c r="AF43" s="57">
        <v>-0.97</v>
      </c>
      <c r="AH43" s="57" t="s">
        <v>207</v>
      </c>
      <c r="AI43" s="57">
        <v>100</v>
      </c>
      <c r="AJ43" s="57" t="s">
        <v>209</v>
      </c>
      <c r="AK43" s="57">
        <v>-682.99</v>
      </c>
      <c r="AL43" s="57">
        <v>285.41000000000003</v>
      </c>
      <c r="AM43" s="57">
        <v>61635.68</v>
      </c>
      <c r="AN43" s="57">
        <v>-388.12799999999999</v>
      </c>
      <c r="AO43" s="57">
        <v>-946.86900000000003</v>
      </c>
      <c r="AP43" s="57">
        <v>-0.56999999999999995</v>
      </c>
    </row>
    <row r="44" spans="1:42" x14ac:dyDescent="0.2">
      <c r="A44" s="58"/>
      <c r="B44" s="64" t="s">
        <v>84</v>
      </c>
      <c r="C44" s="58"/>
      <c r="D44" s="58"/>
      <c r="E44" s="58"/>
      <c r="F44" s="58"/>
      <c r="G44" s="58"/>
      <c r="H44" s="58"/>
      <c r="I44" s="58"/>
      <c r="J44" s="58"/>
      <c r="K44" s="58"/>
      <c r="L44" s="58"/>
      <c r="N44" s="59">
        <f t="shared" si="0"/>
        <v>256882.14</v>
      </c>
      <c r="O44" s="60">
        <f t="shared" si="1"/>
        <v>184267.63</v>
      </c>
      <c r="P44" s="60">
        <f t="shared" si="2"/>
        <v>72614.509999999995</v>
      </c>
      <c r="Q44" s="115">
        <v>0.65</v>
      </c>
      <c r="R44" s="115">
        <v>0.65</v>
      </c>
      <c r="X44" s="57" t="s">
        <v>207</v>
      </c>
      <c r="Y44" s="57">
        <v>101</v>
      </c>
      <c r="Z44" s="57" t="s">
        <v>208</v>
      </c>
      <c r="AA44" s="57">
        <v>1932.39</v>
      </c>
      <c r="AB44" s="57">
        <v>842.16</v>
      </c>
      <c r="AC44" s="57">
        <v>177552.17</v>
      </c>
      <c r="AD44" s="57">
        <v>-1146.4639999999999</v>
      </c>
      <c r="AE44" s="57">
        <v>2606.4070000000002</v>
      </c>
      <c r="AF44" s="57">
        <v>-0.97</v>
      </c>
      <c r="AH44" s="57" t="s">
        <v>207</v>
      </c>
      <c r="AI44" s="57">
        <v>101</v>
      </c>
      <c r="AJ44" s="57" t="s">
        <v>209</v>
      </c>
      <c r="AK44" s="57">
        <v>822.01</v>
      </c>
      <c r="AL44" s="57">
        <v>357.37</v>
      </c>
      <c r="AM44" s="57">
        <v>68900.73</v>
      </c>
      <c r="AN44" s="57">
        <v>-485.90300000000002</v>
      </c>
      <c r="AO44" s="57">
        <v>1103.5909999999999</v>
      </c>
      <c r="AP44" s="57">
        <v>-0.56999999999999995</v>
      </c>
    </row>
    <row r="45" spans="1:42" x14ac:dyDescent="0.2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N45" s="59">
        <f t="shared" si="0"/>
        <v>288504.16000000003</v>
      </c>
      <c r="O45" s="60">
        <f t="shared" si="1"/>
        <v>204454</v>
      </c>
      <c r="P45" s="60">
        <f t="shared" si="2"/>
        <v>84050.16</v>
      </c>
      <c r="Q45" s="115">
        <v>0.65</v>
      </c>
      <c r="R45" s="115">
        <v>0.65</v>
      </c>
      <c r="X45" s="57" t="s">
        <v>207</v>
      </c>
      <c r="Y45" s="57">
        <v>102</v>
      </c>
      <c r="Z45" s="57" t="s">
        <v>208</v>
      </c>
      <c r="AA45" s="57">
        <v>1167.83</v>
      </c>
      <c r="AB45" s="57">
        <v>1070.8800000000001</v>
      </c>
      <c r="AC45" s="57">
        <v>184267.63</v>
      </c>
      <c r="AD45" s="57">
        <v>-1453.711</v>
      </c>
      <c r="AE45" s="57">
        <v>1558.098</v>
      </c>
      <c r="AF45" s="57">
        <v>-0.97</v>
      </c>
      <c r="AH45" s="57" t="s">
        <v>207</v>
      </c>
      <c r="AI45" s="57">
        <v>102</v>
      </c>
      <c r="AJ45" s="57" t="s">
        <v>209</v>
      </c>
      <c r="AK45" s="57">
        <v>592.78</v>
      </c>
      <c r="AL45" s="57">
        <v>543.02</v>
      </c>
      <c r="AM45" s="57">
        <v>72614.509999999995</v>
      </c>
      <c r="AN45" s="57">
        <v>-736.07399999999996</v>
      </c>
      <c r="AO45" s="57">
        <v>786.56299999999999</v>
      </c>
      <c r="AP45" s="57">
        <v>-0.56999999999999995</v>
      </c>
    </row>
    <row r="46" spans="1:42" x14ac:dyDescent="0.2">
      <c r="A46" s="58"/>
      <c r="B46" s="64" t="s">
        <v>31</v>
      </c>
      <c r="C46" s="72">
        <f>ROUND(-(53*E42*SQRT(B13)*B8*100+53*E42*SQRT(B13)*B9*100+25*C37*B8*100+25*C37*B9*100-SQRT(625*(C37*B8*100)^2+625*(C37*B9*100)^2-1250*B8*B9*10000*C37^2+10600*E42*C35*SQRT(B13)+2650*E42*C37*SQRT(B13)*(B8*100)^2+2650*E42*C37*SQRT(B13)*(B9*100)^2-5300*E42*C37*SQRT(B13)*B8*B9*10000+2500*C35*C37+B13*(2809*(E42*B8*100)^2+2809*(E42*B9*100)^2+5618*B8*B9*10000*E42^2)))/(2*106*E42*SQRT(B13)+25*C37),2)</f>
        <v>20.66</v>
      </c>
      <c r="D46" s="58" t="s">
        <v>32</v>
      </c>
      <c r="E46" s="58"/>
      <c r="F46" s="58"/>
      <c r="G46" s="58"/>
      <c r="H46" s="58"/>
      <c r="I46" s="58"/>
      <c r="J46" s="58"/>
      <c r="K46" s="58"/>
      <c r="L46" s="58"/>
      <c r="M46" s="57" t="s">
        <v>285</v>
      </c>
      <c r="N46" s="59">
        <f t="shared" si="0"/>
        <v>291416.52</v>
      </c>
      <c r="O46" s="60">
        <f t="shared" si="1"/>
        <v>206225.55</v>
      </c>
      <c r="P46" s="60">
        <f t="shared" si="2"/>
        <v>85190.97</v>
      </c>
      <c r="Q46" s="115">
        <v>0.65</v>
      </c>
      <c r="R46" s="115">
        <v>0.65</v>
      </c>
      <c r="X46" s="57" t="s">
        <v>207</v>
      </c>
      <c r="Y46" s="57">
        <v>103</v>
      </c>
      <c r="Z46" s="57" t="s">
        <v>208</v>
      </c>
      <c r="AA46" s="57">
        <v>-25.86</v>
      </c>
      <c r="AB46" s="57">
        <v>-8.3699999999999992</v>
      </c>
      <c r="AC46" s="57">
        <v>204454</v>
      </c>
      <c r="AD46" s="57">
        <v>12.759</v>
      </c>
      <c r="AE46" s="57">
        <v>-61.481999999999999</v>
      </c>
      <c r="AF46" s="57">
        <v>-0.97</v>
      </c>
      <c r="AH46" s="57" t="s">
        <v>207</v>
      </c>
      <c r="AI46" s="57">
        <v>103</v>
      </c>
      <c r="AJ46" s="57" t="s">
        <v>209</v>
      </c>
      <c r="AK46" s="57">
        <v>-12.3</v>
      </c>
      <c r="AL46" s="57">
        <v>-3.11</v>
      </c>
      <c r="AM46" s="57">
        <v>84050.16</v>
      </c>
      <c r="AN46" s="57">
        <v>5.9939999999999998</v>
      </c>
      <c r="AO46" s="57">
        <v>-34.183999999999997</v>
      </c>
      <c r="AP46" s="57">
        <v>-0.56999999999999995</v>
      </c>
    </row>
    <row r="47" spans="1:42" x14ac:dyDescent="0.2">
      <c r="A47" s="58"/>
      <c r="B47" s="64" t="s">
        <v>41</v>
      </c>
      <c r="C47" s="65">
        <v>7.5</v>
      </c>
      <c r="D47" s="58" t="s">
        <v>32</v>
      </c>
      <c r="E47" s="58"/>
      <c r="F47" s="58"/>
      <c r="G47" s="58"/>
      <c r="H47" s="58"/>
      <c r="I47" s="58"/>
      <c r="J47" s="58"/>
      <c r="K47" s="58"/>
      <c r="L47" s="58"/>
      <c r="N47" s="59">
        <f t="shared" si="0"/>
        <v>288233.68</v>
      </c>
      <c r="O47" s="60">
        <f t="shared" si="1"/>
        <v>204060.79</v>
      </c>
      <c r="P47" s="60">
        <f t="shared" si="2"/>
        <v>84172.89</v>
      </c>
      <c r="Q47" s="115">
        <v>0.65</v>
      </c>
      <c r="R47" s="115">
        <v>0.65</v>
      </c>
      <c r="X47" s="57" t="s">
        <v>207</v>
      </c>
      <c r="Y47" s="57">
        <v>104</v>
      </c>
      <c r="Z47" s="57" t="s">
        <v>208</v>
      </c>
      <c r="AA47" s="57">
        <v>47.46</v>
      </c>
      <c r="AB47" s="57">
        <v>128.62</v>
      </c>
      <c r="AC47" s="57">
        <v>206225.55</v>
      </c>
      <c r="AD47" s="57">
        <v>-174.399</v>
      </c>
      <c r="AE47" s="57">
        <v>41.018000000000001</v>
      </c>
      <c r="AF47" s="57">
        <v>-0.97</v>
      </c>
      <c r="AH47" s="57" t="s">
        <v>207</v>
      </c>
      <c r="AI47" s="57">
        <v>104</v>
      </c>
      <c r="AJ47" s="57" t="s">
        <v>209</v>
      </c>
      <c r="AK47" s="57">
        <v>24.82</v>
      </c>
      <c r="AL47" s="57">
        <v>65.89</v>
      </c>
      <c r="AM47" s="57">
        <v>85190.97</v>
      </c>
      <c r="AN47" s="57">
        <v>-88.284999999999997</v>
      </c>
      <c r="AO47" s="57">
        <v>17.902000000000001</v>
      </c>
      <c r="AP47" s="57">
        <v>-0.56999999999999995</v>
      </c>
    </row>
    <row r="48" spans="1:42" x14ac:dyDescent="0.2">
      <c r="A48" s="58"/>
      <c r="B48" s="117" t="s">
        <v>85</v>
      </c>
      <c r="C48" s="117"/>
      <c r="D48" s="73" t="s">
        <v>38</v>
      </c>
      <c r="E48" s="64" t="s">
        <v>228</v>
      </c>
      <c r="F48" s="61">
        <f>ROUND(C46+C47+VLOOKUP(D48,Parametros!E2:G6,2,FALSE),0)</f>
        <v>30</v>
      </c>
      <c r="G48" s="58" t="s">
        <v>32</v>
      </c>
      <c r="H48" s="58"/>
      <c r="I48" s="100" t="s">
        <v>232</v>
      </c>
      <c r="J48" s="101">
        <v>30</v>
      </c>
      <c r="K48" s="100" t="s">
        <v>32</v>
      </c>
      <c r="L48" s="58"/>
      <c r="N48" s="59">
        <f t="shared" si="0"/>
        <v>289526.96000000002</v>
      </c>
      <c r="O48" s="60">
        <f t="shared" si="1"/>
        <v>205779.04</v>
      </c>
      <c r="P48" s="60">
        <f t="shared" si="2"/>
        <v>83747.92</v>
      </c>
      <c r="Q48" s="115">
        <v>0.65</v>
      </c>
      <c r="R48" s="115">
        <v>0.65</v>
      </c>
      <c r="X48" s="57" t="s">
        <v>207</v>
      </c>
      <c r="Y48" s="57">
        <v>105</v>
      </c>
      <c r="Z48" s="57" t="s">
        <v>208</v>
      </c>
      <c r="AA48" s="57">
        <v>27.59</v>
      </c>
      <c r="AB48" s="57">
        <v>-201.73</v>
      </c>
      <c r="AC48" s="57">
        <v>204060.79</v>
      </c>
      <c r="AD48" s="57">
        <v>276.93299999999999</v>
      </c>
      <c r="AE48" s="57">
        <v>16.222999999999999</v>
      </c>
      <c r="AF48" s="57">
        <v>-0.97</v>
      </c>
      <c r="AH48" s="57" t="s">
        <v>207</v>
      </c>
      <c r="AI48" s="57">
        <v>105</v>
      </c>
      <c r="AJ48" s="57" t="s">
        <v>209</v>
      </c>
      <c r="AK48" s="57">
        <v>15.61</v>
      </c>
      <c r="AL48" s="57">
        <v>-103.14</v>
      </c>
      <c r="AM48" s="57">
        <v>84172.89</v>
      </c>
      <c r="AN48" s="57">
        <v>142.64699999999999</v>
      </c>
      <c r="AO48" s="57">
        <v>6.694</v>
      </c>
      <c r="AP48" s="57">
        <v>-0.56999999999999995</v>
      </c>
    </row>
    <row r="49" spans="1:42" x14ac:dyDescent="0.2">
      <c r="A49" s="58"/>
      <c r="B49" s="98" t="s">
        <v>246</v>
      </c>
      <c r="C49" s="82">
        <f>J48-C47-VLOOKUP(D48,Parametros!E2:G6,2,FALSE)</f>
        <v>20.912500000000001</v>
      </c>
      <c r="D49" s="71" t="s">
        <v>32</v>
      </c>
      <c r="E49" s="58"/>
      <c r="F49" s="58"/>
      <c r="G49" s="58"/>
      <c r="H49" s="58"/>
      <c r="I49" s="58"/>
      <c r="J49" s="58"/>
      <c r="K49" s="58"/>
      <c r="L49" s="58"/>
      <c r="N49" s="59">
        <f t="shared" si="0"/>
        <v>243267.23</v>
      </c>
      <c r="O49" s="60">
        <f t="shared" si="1"/>
        <v>174786.51</v>
      </c>
      <c r="P49" s="60">
        <f t="shared" si="2"/>
        <v>68480.72</v>
      </c>
      <c r="Q49" s="115">
        <v>0.65</v>
      </c>
      <c r="R49" s="115">
        <v>0.65</v>
      </c>
      <c r="X49" s="57" t="s">
        <v>207</v>
      </c>
      <c r="Y49" s="57">
        <v>106</v>
      </c>
      <c r="Z49" s="57" t="s">
        <v>208</v>
      </c>
      <c r="AA49" s="57">
        <v>1071.01</v>
      </c>
      <c r="AB49" s="57">
        <v>986.83</v>
      </c>
      <c r="AC49" s="57">
        <v>205779.04</v>
      </c>
      <c r="AD49" s="57">
        <v>-1339.511</v>
      </c>
      <c r="AE49" s="57">
        <v>1436.021</v>
      </c>
      <c r="AF49" s="57">
        <v>-0.97</v>
      </c>
      <c r="AH49" s="57" t="s">
        <v>207</v>
      </c>
      <c r="AI49" s="57">
        <v>106</v>
      </c>
      <c r="AJ49" s="57" t="s">
        <v>209</v>
      </c>
      <c r="AK49" s="57">
        <v>545.94000000000005</v>
      </c>
      <c r="AL49" s="57">
        <v>494.91</v>
      </c>
      <c r="AM49" s="57">
        <v>83747.92</v>
      </c>
      <c r="AN49" s="57">
        <v>-670.70899999999995</v>
      </c>
      <c r="AO49" s="57">
        <v>728.49800000000005</v>
      </c>
      <c r="AP49" s="57">
        <v>-0.56999999999999995</v>
      </c>
    </row>
    <row r="50" spans="1:42" ht="15" customHeight="1" x14ac:dyDescent="0.2">
      <c r="A50" s="58"/>
      <c r="B50" s="58"/>
      <c r="C50" s="58"/>
      <c r="D50" s="58"/>
      <c r="E50" s="58"/>
      <c r="F50" s="118" t="s">
        <v>194</v>
      </c>
      <c r="G50" s="118"/>
      <c r="H50" s="118"/>
      <c r="I50" s="119">
        <f>N83/N82</f>
        <v>0.92232525153112122</v>
      </c>
      <c r="J50" s="119"/>
      <c r="K50" s="74"/>
      <c r="L50" s="58"/>
      <c r="N50" s="59">
        <f t="shared" si="0"/>
        <v>203209.84</v>
      </c>
      <c r="O50" s="60">
        <f t="shared" si="1"/>
        <v>149521.96</v>
      </c>
      <c r="P50" s="60">
        <f t="shared" si="2"/>
        <v>53687.88</v>
      </c>
      <c r="Q50" s="115">
        <v>0.65</v>
      </c>
      <c r="R50" s="115">
        <v>0.65</v>
      </c>
      <c r="X50" s="57" t="s">
        <v>207</v>
      </c>
      <c r="Y50" s="57">
        <v>107</v>
      </c>
      <c r="Z50" s="57" t="s">
        <v>208</v>
      </c>
      <c r="AA50" s="57">
        <v>-1147.31</v>
      </c>
      <c r="AB50" s="57">
        <v>338.5</v>
      </c>
      <c r="AC50" s="57">
        <v>174786.51</v>
      </c>
      <c r="AD50" s="57">
        <v>-455.07299999999998</v>
      </c>
      <c r="AE50" s="57">
        <v>-1587.566</v>
      </c>
      <c r="AF50" s="57">
        <v>-0.97</v>
      </c>
      <c r="AH50" s="57" t="s">
        <v>207</v>
      </c>
      <c r="AI50" s="57">
        <v>107</v>
      </c>
      <c r="AJ50" s="57" t="s">
        <v>209</v>
      </c>
      <c r="AK50" s="57">
        <v>-586.29</v>
      </c>
      <c r="AL50" s="57">
        <v>164.45</v>
      </c>
      <c r="AM50" s="57">
        <v>68480.72</v>
      </c>
      <c r="AN50" s="57">
        <v>-219.62100000000001</v>
      </c>
      <c r="AO50" s="57">
        <v>-815.47799999999995</v>
      </c>
      <c r="AP50" s="57">
        <v>-0.56999999999999995</v>
      </c>
    </row>
    <row r="51" spans="1:42" x14ac:dyDescent="0.2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N51" s="59">
        <f t="shared" si="0"/>
        <v>274015.99</v>
      </c>
      <c r="O51" s="60">
        <f t="shared" si="1"/>
        <v>195106.1</v>
      </c>
      <c r="P51" s="60">
        <f t="shared" si="2"/>
        <v>78909.89</v>
      </c>
      <c r="Q51" s="115">
        <v>0.65</v>
      </c>
      <c r="R51" s="115">
        <v>0.65</v>
      </c>
      <c r="X51" s="57" t="s">
        <v>207</v>
      </c>
      <c r="Y51" s="57">
        <v>108</v>
      </c>
      <c r="Z51" s="57" t="s">
        <v>208</v>
      </c>
      <c r="AA51" s="57">
        <v>-1365.45</v>
      </c>
      <c r="AB51" s="57">
        <v>-188.28</v>
      </c>
      <c r="AC51" s="57">
        <v>149521.96</v>
      </c>
      <c r="AD51" s="57">
        <v>260.68200000000002</v>
      </c>
      <c r="AE51" s="57">
        <v>-1879.183</v>
      </c>
      <c r="AF51" s="57">
        <v>-0.97</v>
      </c>
      <c r="AH51" s="57" t="s">
        <v>207</v>
      </c>
      <c r="AI51" s="57">
        <v>108</v>
      </c>
      <c r="AJ51" s="57" t="s">
        <v>209</v>
      </c>
      <c r="AK51" s="57">
        <v>-804.41</v>
      </c>
      <c r="AL51" s="57">
        <v>-39.43</v>
      </c>
      <c r="AM51" s="57">
        <v>53687.88</v>
      </c>
      <c r="AN51" s="57">
        <v>57.4</v>
      </c>
      <c r="AO51" s="57">
        <v>-1109.039</v>
      </c>
      <c r="AP51" s="57">
        <v>-0.56999999999999995</v>
      </c>
    </row>
    <row r="52" spans="1:42" x14ac:dyDescent="0.2">
      <c r="A52" s="58"/>
      <c r="B52" s="76" t="s">
        <v>42</v>
      </c>
      <c r="C52" s="58"/>
      <c r="D52" s="58"/>
      <c r="E52" s="58"/>
      <c r="F52" s="58"/>
      <c r="G52" s="58"/>
      <c r="H52" s="58"/>
      <c r="I52" s="58"/>
      <c r="J52" s="58"/>
      <c r="K52" s="58"/>
      <c r="L52" s="58"/>
      <c r="N52" s="59">
        <f t="shared" si="0"/>
        <v>224674.78999999998</v>
      </c>
      <c r="O52" s="60">
        <f t="shared" si="1"/>
        <v>161581.76999999999</v>
      </c>
      <c r="P52" s="60">
        <f t="shared" si="2"/>
        <v>63093.02</v>
      </c>
      <c r="Q52" s="115">
        <v>0.65</v>
      </c>
      <c r="R52" s="115">
        <v>0.65</v>
      </c>
      <c r="X52" s="57" t="s">
        <v>207</v>
      </c>
      <c r="Y52" s="57">
        <v>109</v>
      </c>
      <c r="Z52" s="57" t="s">
        <v>208</v>
      </c>
      <c r="AA52" s="57">
        <v>-2443.39</v>
      </c>
      <c r="AB52" s="57">
        <v>1551.92</v>
      </c>
      <c r="AC52" s="57">
        <v>195106.1</v>
      </c>
      <c r="AD52" s="57">
        <v>-2103.7919999999999</v>
      </c>
      <c r="AE52" s="57">
        <v>-3339.1219999999998</v>
      </c>
      <c r="AF52" s="57">
        <v>-0.97</v>
      </c>
      <c r="AH52" s="57" t="s">
        <v>207</v>
      </c>
      <c r="AI52" s="57">
        <v>109</v>
      </c>
      <c r="AJ52" s="57" t="s">
        <v>209</v>
      </c>
      <c r="AK52" s="57">
        <v>-1207.23</v>
      </c>
      <c r="AL52" s="57">
        <v>777.46</v>
      </c>
      <c r="AM52" s="57">
        <v>78909.89</v>
      </c>
      <c r="AN52" s="57">
        <v>-1052.55</v>
      </c>
      <c r="AO52" s="57">
        <v>-1653.6010000000001</v>
      </c>
      <c r="AP52" s="57">
        <v>-0.56999999999999995</v>
      </c>
    </row>
    <row r="53" spans="1:42" x14ac:dyDescent="0.2">
      <c r="A53" s="58"/>
      <c r="B53" s="98" t="s">
        <v>29</v>
      </c>
      <c r="C53" s="76">
        <f>HLOOKUP(D2,Parametros!B2:C5,4,FALSE)</f>
        <v>0.75</v>
      </c>
      <c r="D53" s="58"/>
      <c r="E53" s="58"/>
      <c r="F53" s="58"/>
      <c r="G53" s="58"/>
      <c r="H53" s="58"/>
      <c r="I53" s="58"/>
      <c r="J53" s="58"/>
      <c r="K53" s="58"/>
      <c r="L53" s="58"/>
      <c r="N53" s="59">
        <f t="shared" si="0"/>
        <v>108069.93</v>
      </c>
      <c r="O53" s="60">
        <f t="shared" si="1"/>
        <v>85112.06</v>
      </c>
      <c r="P53" s="60">
        <f t="shared" si="2"/>
        <v>22957.87</v>
      </c>
      <c r="Q53" s="115">
        <v>0.65</v>
      </c>
      <c r="R53" s="115">
        <v>0.65</v>
      </c>
      <c r="X53" s="57" t="s">
        <v>207</v>
      </c>
      <c r="Y53" s="57">
        <v>110</v>
      </c>
      <c r="Z53" s="57" t="s">
        <v>208</v>
      </c>
      <c r="AA53" s="57">
        <v>1415.02</v>
      </c>
      <c r="AB53" s="57">
        <v>831.85</v>
      </c>
      <c r="AC53" s="57">
        <v>161581.76999999999</v>
      </c>
      <c r="AD53" s="57">
        <v>-1122.182</v>
      </c>
      <c r="AE53" s="57">
        <v>1893.973</v>
      </c>
      <c r="AF53" s="57">
        <v>-0.97</v>
      </c>
      <c r="AH53" s="57" t="s">
        <v>207</v>
      </c>
      <c r="AI53" s="57">
        <v>110</v>
      </c>
      <c r="AJ53" s="57" t="s">
        <v>209</v>
      </c>
      <c r="AK53" s="57">
        <v>667.34</v>
      </c>
      <c r="AL53" s="57">
        <v>465.96</v>
      </c>
      <c r="AM53" s="57">
        <v>63093.02</v>
      </c>
      <c r="AN53" s="57">
        <v>-627.39499999999998</v>
      </c>
      <c r="AO53" s="57">
        <v>887.87699999999995</v>
      </c>
      <c r="AP53" s="57">
        <v>-0.56999999999999995</v>
      </c>
    </row>
    <row r="54" spans="1:42" x14ac:dyDescent="0.2">
      <c r="A54" s="58"/>
      <c r="B54" s="98" t="s">
        <v>44</v>
      </c>
      <c r="C54" s="76">
        <f>C37*D28*100*(C30*100-C49)</f>
        <v>23623.233528358207</v>
      </c>
      <c r="D54" s="58"/>
      <c r="E54" s="58"/>
      <c r="F54" s="58"/>
      <c r="G54" s="58"/>
      <c r="H54" s="58"/>
      <c r="I54" s="58"/>
      <c r="J54" s="58"/>
      <c r="K54" s="58"/>
      <c r="L54" s="58"/>
      <c r="N54" s="59">
        <f t="shared" si="0"/>
        <v>256034.37</v>
      </c>
      <c r="O54" s="60">
        <f t="shared" si="1"/>
        <v>183528.77</v>
      </c>
      <c r="P54" s="60">
        <f t="shared" si="2"/>
        <v>72505.600000000006</v>
      </c>
      <c r="Q54" s="115">
        <v>0.65</v>
      </c>
      <c r="R54" s="115">
        <v>0.65</v>
      </c>
      <c r="X54" s="57" t="s">
        <v>207</v>
      </c>
      <c r="Y54" s="57">
        <v>111</v>
      </c>
      <c r="Z54" s="57" t="s">
        <v>208</v>
      </c>
      <c r="AA54" s="57">
        <v>-477.91</v>
      </c>
      <c r="AB54" s="57">
        <v>-495.68</v>
      </c>
      <c r="AC54" s="57">
        <v>85112.06</v>
      </c>
      <c r="AD54" s="57">
        <v>681.57899999999995</v>
      </c>
      <c r="AE54" s="57">
        <v>-673.25599999999997</v>
      </c>
      <c r="AF54" s="57">
        <v>-0.97</v>
      </c>
      <c r="AH54" s="57" t="s">
        <v>207</v>
      </c>
      <c r="AI54" s="57">
        <v>111</v>
      </c>
      <c r="AJ54" s="57" t="s">
        <v>209</v>
      </c>
      <c r="AK54" s="57">
        <v>-124.74</v>
      </c>
      <c r="AL54" s="57">
        <v>-187.88</v>
      </c>
      <c r="AM54" s="57">
        <v>22957.87</v>
      </c>
      <c r="AN54" s="57">
        <v>261.00200000000001</v>
      </c>
      <c r="AO54" s="57">
        <v>-185.54300000000001</v>
      </c>
      <c r="AP54" s="57">
        <v>-0.56999999999999995</v>
      </c>
    </row>
    <row r="55" spans="1:42" x14ac:dyDescent="0.2">
      <c r="A55" s="58"/>
      <c r="B55" s="98" t="s">
        <v>84</v>
      </c>
      <c r="C55" s="76">
        <f>0.53*E42*SQRT(B13)*D28*100*C49</f>
        <v>34934.194365495263</v>
      </c>
      <c r="D55" s="58"/>
      <c r="E55" s="99" t="str">
        <f>CONCATENATE(IF(C54&lt;=C55,"Vdu &lt; φVc  ………..(Conforme)","Vdu &gt; φVc  …………(Verificar)"))</f>
        <v>Vdu &lt; φVc  ………..(Conforme)</v>
      </c>
      <c r="F55" s="58"/>
      <c r="G55" s="58"/>
      <c r="H55" s="58"/>
      <c r="I55" s="58"/>
      <c r="J55" s="58"/>
      <c r="L55" s="58"/>
      <c r="N55" s="59">
        <f t="shared" si="0"/>
        <v>211594.16999999998</v>
      </c>
      <c r="O55" s="60">
        <f t="shared" si="1"/>
        <v>149783.24</v>
      </c>
      <c r="P55" s="60">
        <f t="shared" si="2"/>
        <v>61810.93</v>
      </c>
      <c r="Q55" s="115">
        <v>0.65</v>
      </c>
      <c r="R55" s="115">
        <v>0.65</v>
      </c>
      <c r="X55" s="57" t="s">
        <v>207</v>
      </c>
      <c r="Y55" s="57">
        <v>112</v>
      </c>
      <c r="Z55" s="57" t="s">
        <v>208</v>
      </c>
      <c r="AA55" s="57">
        <v>1272.92</v>
      </c>
      <c r="AB55" s="57">
        <v>926.51</v>
      </c>
      <c r="AC55" s="57">
        <v>183528.77</v>
      </c>
      <c r="AD55" s="57">
        <v>-1250.7950000000001</v>
      </c>
      <c r="AE55" s="57">
        <v>1710.3579999999999</v>
      </c>
      <c r="AF55" s="57">
        <v>-0.97</v>
      </c>
      <c r="AH55" s="57" t="s">
        <v>207</v>
      </c>
      <c r="AI55" s="57">
        <v>112</v>
      </c>
      <c r="AJ55" s="57" t="s">
        <v>209</v>
      </c>
      <c r="AK55" s="57">
        <v>595.33000000000004</v>
      </c>
      <c r="AL55" s="57">
        <v>379.17</v>
      </c>
      <c r="AM55" s="57">
        <v>72505.600000000006</v>
      </c>
      <c r="AN55" s="57">
        <v>-509.48099999999999</v>
      </c>
      <c r="AO55" s="57">
        <v>795.59400000000005</v>
      </c>
      <c r="AP55" s="57">
        <v>-0.56999999999999995</v>
      </c>
    </row>
    <row r="56" spans="1:42" x14ac:dyDescent="0.2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N56" s="59">
        <f t="shared" si="0"/>
        <v>194452.41999999998</v>
      </c>
      <c r="O56" s="60">
        <f t="shared" si="1"/>
        <v>139944.49</v>
      </c>
      <c r="P56" s="60">
        <f t="shared" si="2"/>
        <v>54507.93</v>
      </c>
      <c r="Q56" s="115">
        <v>0.65</v>
      </c>
      <c r="R56" s="115">
        <v>0.65</v>
      </c>
      <c r="X56" s="57" t="s">
        <v>207</v>
      </c>
      <c r="Y56" s="57">
        <v>113</v>
      </c>
      <c r="Z56" s="57" t="s">
        <v>208</v>
      </c>
      <c r="AA56" s="57">
        <v>-3565.73</v>
      </c>
      <c r="AB56" s="57">
        <v>533.38</v>
      </c>
      <c r="AC56" s="57">
        <v>149783.24</v>
      </c>
      <c r="AD56" s="57">
        <v>-712.57799999999997</v>
      </c>
      <c r="AE56" s="57">
        <v>-4873.5590000000002</v>
      </c>
      <c r="AF56" s="57">
        <v>-0.97</v>
      </c>
      <c r="AH56" s="57" t="s">
        <v>207</v>
      </c>
      <c r="AI56" s="57">
        <v>113</v>
      </c>
      <c r="AJ56" s="57" t="s">
        <v>209</v>
      </c>
      <c r="AK56" s="57">
        <v>-1628.94</v>
      </c>
      <c r="AL56" s="57">
        <v>329.29</v>
      </c>
      <c r="AM56" s="57">
        <v>61810.93</v>
      </c>
      <c r="AN56" s="57">
        <v>-439.31599999999997</v>
      </c>
      <c r="AO56" s="57">
        <v>-2232.1660000000002</v>
      </c>
      <c r="AP56" s="57">
        <v>-0.56999999999999995</v>
      </c>
    </row>
    <row r="57" spans="1:42" x14ac:dyDescent="0.2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N57" s="59">
        <f t="shared" si="0"/>
        <v>253515.13</v>
      </c>
      <c r="O57" s="60">
        <f t="shared" si="1"/>
        <v>178168.55</v>
      </c>
      <c r="P57" s="60">
        <f t="shared" si="2"/>
        <v>75346.58</v>
      </c>
      <c r="Q57" s="115">
        <v>0.65</v>
      </c>
      <c r="R57" s="115">
        <v>0.65</v>
      </c>
      <c r="X57" s="57" t="s">
        <v>207</v>
      </c>
      <c r="Y57" s="57">
        <v>114</v>
      </c>
      <c r="Z57" s="57" t="s">
        <v>208</v>
      </c>
      <c r="AA57" s="57">
        <v>402.84</v>
      </c>
      <c r="AB57" s="57">
        <v>35.83</v>
      </c>
      <c r="AC57" s="57">
        <v>139944.49</v>
      </c>
      <c r="AD57" s="57">
        <v>-36.545999999999999</v>
      </c>
      <c r="AE57" s="57">
        <v>523.452</v>
      </c>
      <c r="AF57" s="57">
        <v>-0.97</v>
      </c>
      <c r="AH57" s="57" t="s">
        <v>207</v>
      </c>
      <c r="AI57" s="57">
        <v>114</v>
      </c>
      <c r="AJ57" s="57" t="s">
        <v>209</v>
      </c>
      <c r="AK57" s="57">
        <v>208.49</v>
      </c>
      <c r="AL57" s="57">
        <v>19.059999999999999</v>
      </c>
      <c r="AM57" s="57">
        <v>54507.93</v>
      </c>
      <c r="AN57" s="57">
        <v>-17.79</v>
      </c>
      <c r="AO57" s="57">
        <v>267.226</v>
      </c>
      <c r="AP57" s="57">
        <v>-0.56999999999999995</v>
      </c>
    </row>
    <row r="58" spans="1:42" x14ac:dyDescent="0.2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N58" s="59">
        <f t="shared" si="0"/>
        <v>190194.11</v>
      </c>
      <c r="O58" s="60">
        <f t="shared" si="1"/>
        <v>128424.53</v>
      </c>
      <c r="P58" s="60">
        <f t="shared" si="2"/>
        <v>61769.58</v>
      </c>
      <c r="Q58" s="115">
        <v>0.65</v>
      </c>
      <c r="R58" s="115">
        <v>0.65</v>
      </c>
      <c r="X58" s="57" t="s">
        <v>207</v>
      </c>
      <c r="Y58" s="57">
        <v>115</v>
      </c>
      <c r="Z58" s="57" t="s">
        <v>208</v>
      </c>
      <c r="AA58" s="57">
        <v>-1525.68</v>
      </c>
      <c r="AB58" s="57">
        <v>1894.33</v>
      </c>
      <c r="AC58" s="57">
        <v>178168.55</v>
      </c>
      <c r="AD58" s="57">
        <v>-2561.7539999999999</v>
      </c>
      <c r="AE58" s="57">
        <v>-2092.1979999999999</v>
      </c>
      <c r="AF58" s="57">
        <v>-0.97</v>
      </c>
      <c r="AH58" s="57" t="s">
        <v>207</v>
      </c>
      <c r="AI58" s="57">
        <v>115</v>
      </c>
      <c r="AJ58" s="57" t="s">
        <v>209</v>
      </c>
      <c r="AK58" s="57">
        <v>-703.27</v>
      </c>
      <c r="AL58" s="57">
        <v>942.38</v>
      </c>
      <c r="AM58" s="57">
        <v>75346.58</v>
      </c>
      <c r="AN58" s="57">
        <v>-1272.347</v>
      </c>
      <c r="AO58" s="57">
        <v>-968.85599999999999</v>
      </c>
      <c r="AP58" s="57">
        <v>-0.56999999999999995</v>
      </c>
    </row>
    <row r="59" spans="1:42" x14ac:dyDescent="0.2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N59" s="59">
        <f t="shared" si="0"/>
        <v>215835.99</v>
      </c>
      <c r="O59" s="60">
        <f t="shared" si="1"/>
        <v>144698.18</v>
      </c>
      <c r="P59" s="60">
        <f t="shared" si="2"/>
        <v>71137.81</v>
      </c>
      <c r="Q59" s="115">
        <v>0.65</v>
      </c>
      <c r="R59" s="115">
        <v>0.65</v>
      </c>
      <c r="X59" s="57" t="s">
        <v>207</v>
      </c>
      <c r="Y59" s="57">
        <v>116</v>
      </c>
      <c r="Z59" s="57" t="s">
        <v>208</v>
      </c>
      <c r="AA59" s="57">
        <v>415.78</v>
      </c>
      <c r="AB59" s="57">
        <v>481.96</v>
      </c>
      <c r="AC59" s="57">
        <v>128424.53</v>
      </c>
      <c r="AD59" s="57">
        <v>-643.26300000000003</v>
      </c>
      <c r="AE59" s="57">
        <v>539.47199999999998</v>
      </c>
      <c r="AF59" s="57">
        <v>-0.97</v>
      </c>
      <c r="AH59" s="57" t="s">
        <v>207</v>
      </c>
      <c r="AI59" s="57">
        <v>116</v>
      </c>
      <c r="AJ59" s="57" t="s">
        <v>209</v>
      </c>
      <c r="AK59" s="57">
        <v>205.76</v>
      </c>
      <c r="AL59" s="57">
        <v>245.94</v>
      </c>
      <c r="AM59" s="57">
        <v>61769.58</v>
      </c>
      <c r="AN59" s="57">
        <v>-326.10700000000003</v>
      </c>
      <c r="AO59" s="57">
        <v>262.31599999999997</v>
      </c>
      <c r="AP59" s="57">
        <v>-0.56999999999999995</v>
      </c>
    </row>
    <row r="60" spans="1:42" x14ac:dyDescent="0.2">
      <c r="A60" s="58" t="s">
        <v>45</v>
      </c>
      <c r="B60" s="71" t="s">
        <v>46</v>
      </c>
      <c r="C60" s="58"/>
      <c r="D60" s="98" t="s">
        <v>29</v>
      </c>
      <c r="E60" s="76">
        <f>HLOOKUP(D2,Parametros!B2:C5,2,FALSE)</f>
        <v>0.9</v>
      </c>
      <c r="F60" s="58"/>
      <c r="G60" s="58"/>
      <c r="H60" s="58"/>
      <c r="I60" s="58"/>
      <c r="J60" s="58"/>
      <c r="K60" s="58"/>
      <c r="L60" s="58"/>
      <c r="N60" s="59">
        <f t="shared" si="0"/>
        <v>228394.63999999998</v>
      </c>
      <c r="O60" s="60">
        <f t="shared" si="1"/>
        <v>153994.46</v>
      </c>
      <c r="P60" s="60">
        <f t="shared" si="2"/>
        <v>74400.179999999993</v>
      </c>
      <c r="Q60" s="115">
        <v>0.65</v>
      </c>
      <c r="R60" s="115">
        <v>0.65</v>
      </c>
      <c r="X60" s="57" t="s">
        <v>207</v>
      </c>
      <c r="Y60" s="57">
        <v>117</v>
      </c>
      <c r="Z60" s="57" t="s">
        <v>208</v>
      </c>
      <c r="AA60" s="57">
        <v>737.25</v>
      </c>
      <c r="AB60" s="57">
        <v>39.619999999999997</v>
      </c>
      <c r="AC60" s="57">
        <v>144698.18</v>
      </c>
      <c r="AD60" s="57">
        <v>-38.936999999999998</v>
      </c>
      <c r="AE60" s="57">
        <v>983.41399999999999</v>
      </c>
      <c r="AF60" s="57">
        <v>-0.97</v>
      </c>
      <c r="AH60" s="57" t="s">
        <v>207</v>
      </c>
      <c r="AI60" s="57">
        <v>117</v>
      </c>
      <c r="AJ60" s="57" t="s">
        <v>209</v>
      </c>
      <c r="AK60" s="57">
        <v>366.61</v>
      </c>
      <c r="AL60" s="57">
        <v>20.87</v>
      </c>
      <c r="AM60" s="57">
        <v>71137.81</v>
      </c>
      <c r="AN60" s="57">
        <v>-18.611000000000001</v>
      </c>
      <c r="AO60" s="57">
        <v>484.863</v>
      </c>
      <c r="AP60" s="57">
        <v>-0.56999999999999995</v>
      </c>
    </row>
    <row r="61" spans="1:42" x14ac:dyDescent="0.2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N61" s="59">
        <f t="shared" si="0"/>
        <v>205605.97999999998</v>
      </c>
      <c r="O61" s="60">
        <f t="shared" si="1"/>
        <v>138293.09</v>
      </c>
      <c r="P61" s="60">
        <f t="shared" si="2"/>
        <v>67312.89</v>
      </c>
      <c r="Q61" s="115">
        <v>0.65</v>
      </c>
      <c r="R61" s="115">
        <v>0.65</v>
      </c>
      <c r="X61" s="57" t="s">
        <v>207</v>
      </c>
      <c r="Y61" s="57">
        <v>118</v>
      </c>
      <c r="Z61" s="57" t="s">
        <v>208</v>
      </c>
      <c r="AA61" s="57">
        <v>1994.7</v>
      </c>
      <c r="AB61" s="57">
        <v>2564.56</v>
      </c>
      <c r="AC61" s="57">
        <v>153994.46</v>
      </c>
      <c r="AD61" s="57">
        <v>-3469.3130000000001</v>
      </c>
      <c r="AE61" s="57">
        <v>2691.067</v>
      </c>
      <c r="AF61" s="57">
        <v>-0.97</v>
      </c>
      <c r="AH61" s="57" t="s">
        <v>207</v>
      </c>
      <c r="AI61" s="57">
        <v>118</v>
      </c>
      <c r="AJ61" s="57" t="s">
        <v>209</v>
      </c>
      <c r="AK61" s="57">
        <v>974.93</v>
      </c>
      <c r="AL61" s="57">
        <v>1295.08</v>
      </c>
      <c r="AM61" s="57">
        <v>74400.179999999993</v>
      </c>
      <c r="AN61" s="57">
        <v>-1749.7349999999999</v>
      </c>
      <c r="AO61" s="57">
        <v>1311.3720000000001</v>
      </c>
      <c r="AP61" s="57">
        <v>-0.56999999999999995</v>
      </c>
    </row>
    <row r="62" spans="1:42" x14ac:dyDescent="0.2">
      <c r="A62" s="58"/>
      <c r="B62" s="76" t="s">
        <v>57</v>
      </c>
      <c r="C62" s="58"/>
      <c r="D62" s="58"/>
      <c r="E62" s="77" t="str">
        <f>CONCATENATE("Usar ",E69," φ ",D48," @ ",C70," cm")</f>
        <v>Usar 75 φ 5/8" @ 3.7 cm</v>
      </c>
      <c r="F62" s="58"/>
      <c r="G62" s="58"/>
      <c r="H62" s="58"/>
      <c r="I62" s="58"/>
      <c r="J62" s="58"/>
      <c r="K62" s="58"/>
      <c r="L62" s="58"/>
      <c r="N62" s="59">
        <f t="shared" si="0"/>
        <v>211127.61000000002</v>
      </c>
      <c r="O62" s="60">
        <f t="shared" si="1"/>
        <v>142218.89000000001</v>
      </c>
      <c r="P62" s="60">
        <f t="shared" si="2"/>
        <v>68908.72</v>
      </c>
      <c r="Q62" s="115">
        <v>0.65</v>
      </c>
      <c r="R62" s="115">
        <v>0.65</v>
      </c>
      <c r="X62" s="57" t="s">
        <v>207</v>
      </c>
      <c r="Y62" s="57">
        <v>119</v>
      </c>
      <c r="Z62" s="57" t="s">
        <v>208</v>
      </c>
      <c r="AA62" s="57">
        <v>-131.59</v>
      </c>
      <c r="AB62" s="57">
        <v>505.7</v>
      </c>
      <c r="AC62" s="57">
        <v>138293.09</v>
      </c>
      <c r="AD62" s="57">
        <v>-672.17899999999997</v>
      </c>
      <c r="AE62" s="57">
        <v>-208.35</v>
      </c>
      <c r="AF62" s="57">
        <v>-0.97</v>
      </c>
      <c r="AH62" s="57" t="s">
        <v>207</v>
      </c>
      <c r="AI62" s="57">
        <v>119</v>
      </c>
      <c r="AJ62" s="57" t="s">
        <v>209</v>
      </c>
      <c r="AK62" s="57">
        <v>-63.81</v>
      </c>
      <c r="AL62" s="57">
        <v>258.2</v>
      </c>
      <c r="AM62" s="57">
        <v>67312.89</v>
      </c>
      <c r="AN62" s="57">
        <v>-340.78899999999999</v>
      </c>
      <c r="AO62" s="57">
        <v>-105.977</v>
      </c>
      <c r="AP62" s="57">
        <v>-0.56999999999999995</v>
      </c>
    </row>
    <row r="63" spans="1:42" x14ac:dyDescent="0.2">
      <c r="A63" s="58"/>
      <c r="B63" s="64" t="s">
        <v>48</v>
      </c>
      <c r="C63" s="61">
        <f>C37*D28*100*(C30*100)^2/200</f>
        <v>18298.734805970147</v>
      </c>
      <c r="D63" s="58" t="s">
        <v>47</v>
      </c>
      <c r="E63" s="58"/>
      <c r="F63" s="58"/>
      <c r="G63" s="58"/>
      <c r="H63" s="58"/>
      <c r="I63" s="58"/>
      <c r="J63" s="58"/>
      <c r="K63" s="58"/>
      <c r="L63" s="58"/>
      <c r="N63" s="59">
        <f t="shared" si="0"/>
        <v>171283.78</v>
      </c>
      <c r="O63" s="60">
        <f t="shared" si="1"/>
        <v>116418.1</v>
      </c>
      <c r="P63" s="60">
        <f t="shared" si="2"/>
        <v>54865.68</v>
      </c>
      <c r="Q63" s="115">
        <v>0.65</v>
      </c>
      <c r="R63" s="115">
        <v>0.65</v>
      </c>
      <c r="X63" s="57" t="s">
        <v>207</v>
      </c>
      <c r="Y63" s="57">
        <v>120</v>
      </c>
      <c r="Z63" s="57" t="s">
        <v>208</v>
      </c>
      <c r="AA63" s="57">
        <v>-2205.12</v>
      </c>
      <c r="AB63" s="57">
        <v>-1733.37</v>
      </c>
      <c r="AC63" s="57">
        <v>142218.89000000001</v>
      </c>
      <c r="AD63" s="57">
        <v>2373.9650000000001</v>
      </c>
      <c r="AE63" s="57">
        <v>-3015.3789999999999</v>
      </c>
      <c r="AF63" s="57">
        <v>-0.97</v>
      </c>
      <c r="AH63" s="57" t="s">
        <v>207</v>
      </c>
      <c r="AI63" s="57">
        <v>120</v>
      </c>
      <c r="AJ63" s="57" t="s">
        <v>209</v>
      </c>
      <c r="AK63" s="57">
        <v>-1102.07</v>
      </c>
      <c r="AL63" s="57">
        <v>-876.2</v>
      </c>
      <c r="AM63" s="57">
        <v>68908.72</v>
      </c>
      <c r="AN63" s="57">
        <v>1202.5340000000001</v>
      </c>
      <c r="AO63" s="57">
        <v>-1510.721</v>
      </c>
      <c r="AP63" s="57">
        <v>-0.56999999999999995</v>
      </c>
    </row>
    <row r="64" spans="1:42" x14ac:dyDescent="0.2">
      <c r="A64" s="58"/>
      <c r="B64" s="64" t="s">
        <v>49</v>
      </c>
      <c r="C64" s="90">
        <f>C63/(D28*C49^2)</f>
        <v>14.428166896770149</v>
      </c>
      <c r="D64" s="58" t="s">
        <v>231</v>
      </c>
      <c r="E64" s="58"/>
      <c r="F64" s="58"/>
      <c r="G64" s="58"/>
      <c r="H64" s="58"/>
      <c r="I64" s="58"/>
      <c r="J64" s="58"/>
      <c r="K64" s="58"/>
      <c r="L64" s="58"/>
      <c r="N64" s="59">
        <f t="shared" si="0"/>
        <v>181343.94</v>
      </c>
      <c r="O64" s="60">
        <f t="shared" si="1"/>
        <v>122797.18</v>
      </c>
      <c r="P64" s="60">
        <f t="shared" si="2"/>
        <v>58546.76</v>
      </c>
      <c r="Q64" s="115">
        <v>0.65</v>
      </c>
      <c r="R64" s="115">
        <v>0.65</v>
      </c>
      <c r="X64" s="57" t="s">
        <v>207</v>
      </c>
      <c r="Y64" s="57">
        <v>121</v>
      </c>
      <c r="Z64" s="57" t="s">
        <v>208</v>
      </c>
      <c r="AA64" s="57">
        <v>-1919.06</v>
      </c>
      <c r="AB64" s="57">
        <v>946.64</v>
      </c>
      <c r="AC64" s="57">
        <v>116418.1</v>
      </c>
      <c r="AD64" s="57">
        <v>-1264.0260000000001</v>
      </c>
      <c r="AE64" s="57">
        <v>-2636.1729999999998</v>
      </c>
      <c r="AF64" s="57">
        <v>-0.97</v>
      </c>
      <c r="AH64" s="57" t="s">
        <v>207</v>
      </c>
      <c r="AI64" s="57">
        <v>121</v>
      </c>
      <c r="AJ64" s="57" t="s">
        <v>209</v>
      </c>
      <c r="AK64" s="57">
        <v>-978.4</v>
      </c>
      <c r="AL64" s="57">
        <v>473.13</v>
      </c>
      <c r="AM64" s="57">
        <v>54865.68</v>
      </c>
      <c r="AN64" s="57">
        <v>-628.83900000000006</v>
      </c>
      <c r="AO64" s="57">
        <v>-1348.259</v>
      </c>
      <c r="AP64" s="57">
        <v>-0.56999999999999995</v>
      </c>
    </row>
    <row r="65" spans="1:42" x14ac:dyDescent="0.2">
      <c r="A65" s="58"/>
      <c r="B65" s="64" t="s">
        <v>50</v>
      </c>
      <c r="C65" s="61">
        <f>(100*0.9*B13*B15-SQRT((100*0.9*B13*B15)^2-23600*0.9*C64*B13*B15^2))/(118*0.9*B15^2)</f>
        <v>4.0063779257018071E-3</v>
      </c>
      <c r="D65" s="58"/>
      <c r="E65" s="58"/>
      <c r="F65" s="58"/>
      <c r="G65" s="58"/>
      <c r="H65" s="58"/>
      <c r="I65" s="58"/>
      <c r="J65" s="58"/>
      <c r="K65" s="58"/>
      <c r="L65" s="58"/>
      <c r="N65" s="59">
        <f t="shared" si="0"/>
        <v>106443.22</v>
      </c>
      <c r="O65" s="60">
        <f t="shared" si="1"/>
        <v>73872.3</v>
      </c>
      <c r="P65" s="60">
        <f t="shared" si="2"/>
        <v>32570.92</v>
      </c>
      <c r="Q65" s="115">
        <v>0.65</v>
      </c>
      <c r="R65" s="115">
        <v>0.65</v>
      </c>
      <c r="X65" s="57" t="s">
        <v>207</v>
      </c>
      <c r="Y65" s="57">
        <v>122</v>
      </c>
      <c r="Z65" s="57" t="s">
        <v>208</v>
      </c>
      <c r="AA65" s="57">
        <v>17.23</v>
      </c>
      <c r="AB65" s="57">
        <v>-2440.88</v>
      </c>
      <c r="AC65" s="57">
        <v>122797.18</v>
      </c>
      <c r="AD65" s="57">
        <v>3338.7280000000001</v>
      </c>
      <c r="AE65" s="57">
        <v>4.2089999999999996</v>
      </c>
      <c r="AF65" s="57">
        <v>-0.97</v>
      </c>
      <c r="AH65" s="57" t="s">
        <v>207</v>
      </c>
      <c r="AI65" s="57">
        <v>122</v>
      </c>
      <c r="AJ65" s="57" t="s">
        <v>209</v>
      </c>
      <c r="AK65" s="57">
        <v>-6.77</v>
      </c>
      <c r="AL65" s="57">
        <v>-1231.9000000000001</v>
      </c>
      <c r="AM65" s="57">
        <v>58546.76</v>
      </c>
      <c r="AN65" s="57">
        <v>1687.855</v>
      </c>
      <c r="AO65" s="57">
        <v>-22.49</v>
      </c>
      <c r="AP65" s="57">
        <v>-0.56999999999999995</v>
      </c>
    </row>
    <row r="66" spans="1:42" x14ac:dyDescent="0.2">
      <c r="A66" s="58"/>
      <c r="B66" s="64" t="s">
        <v>51</v>
      </c>
      <c r="C66" s="61">
        <v>1.8E-3</v>
      </c>
      <c r="D66" s="58"/>
      <c r="E66" s="58"/>
      <c r="F66" s="58"/>
      <c r="G66" s="58"/>
      <c r="H66" s="58"/>
      <c r="I66" s="58"/>
      <c r="J66" s="58"/>
      <c r="K66" s="58"/>
      <c r="L66" s="58"/>
      <c r="N66" s="59">
        <f t="shared" si="0"/>
        <v>147096.63</v>
      </c>
      <c r="O66" s="60">
        <f t="shared" si="1"/>
        <v>104914.29</v>
      </c>
      <c r="P66" s="60">
        <f t="shared" si="2"/>
        <v>42182.34</v>
      </c>
      <c r="Q66" s="115">
        <v>0.65</v>
      </c>
      <c r="R66" s="115">
        <v>0.65</v>
      </c>
      <c r="X66" s="57" t="s">
        <v>207</v>
      </c>
      <c r="Y66" s="57">
        <v>123</v>
      </c>
      <c r="Z66" s="57" t="s">
        <v>208</v>
      </c>
      <c r="AA66" s="57">
        <v>-158.72</v>
      </c>
      <c r="AB66" s="57">
        <v>115.36</v>
      </c>
      <c r="AC66" s="57">
        <v>73872.3</v>
      </c>
      <c r="AD66" s="57">
        <v>-305.363</v>
      </c>
      <c r="AE66" s="57">
        <v>-465.60399999999998</v>
      </c>
      <c r="AF66" s="57">
        <v>-1.115</v>
      </c>
      <c r="AH66" s="57" t="s">
        <v>207</v>
      </c>
      <c r="AI66" s="57">
        <v>123</v>
      </c>
      <c r="AJ66" s="57" t="s">
        <v>209</v>
      </c>
      <c r="AK66" s="57">
        <v>-83.87</v>
      </c>
      <c r="AL66" s="57">
        <v>61.05</v>
      </c>
      <c r="AM66" s="57">
        <v>32570.92</v>
      </c>
      <c r="AN66" s="57">
        <v>-157.84299999999999</v>
      </c>
      <c r="AO66" s="57">
        <v>-250.29599999999999</v>
      </c>
      <c r="AP66" s="57">
        <v>-0.77600000000000002</v>
      </c>
    </row>
    <row r="67" spans="1:42" x14ac:dyDescent="0.2">
      <c r="A67" s="58"/>
      <c r="B67" s="64" t="s">
        <v>52</v>
      </c>
      <c r="C67" s="84">
        <f>PRODUCT(MAX(C65:C66),D28*100,J48)</f>
        <v>34.855487953605717</v>
      </c>
      <c r="D67" s="58" t="s">
        <v>233</v>
      </c>
      <c r="E67" s="58"/>
      <c r="F67" s="58"/>
      <c r="G67" s="58"/>
      <c r="H67" s="58"/>
      <c r="I67" s="58"/>
      <c r="J67" s="58"/>
      <c r="K67" s="58"/>
      <c r="L67" s="58"/>
      <c r="Q67" s="115">
        <v>0.65</v>
      </c>
      <c r="R67" s="115">
        <v>0.65</v>
      </c>
      <c r="X67" s="57" t="s">
        <v>207</v>
      </c>
      <c r="Y67" s="57">
        <v>124</v>
      </c>
      <c r="Z67" s="57" t="s">
        <v>208</v>
      </c>
      <c r="AA67" s="57">
        <v>-750.37</v>
      </c>
      <c r="AB67" s="57">
        <v>-119.42</v>
      </c>
      <c r="AC67" s="57">
        <v>104914.29</v>
      </c>
      <c r="AD67" s="57">
        <v>347.74900000000002</v>
      </c>
      <c r="AE67" s="57">
        <v>-2108.817</v>
      </c>
      <c r="AF67" s="57">
        <v>-1.115</v>
      </c>
      <c r="AH67" s="57" t="s">
        <v>207</v>
      </c>
      <c r="AI67" s="57">
        <v>124</v>
      </c>
      <c r="AJ67" s="57" t="s">
        <v>209</v>
      </c>
      <c r="AK67" s="57">
        <v>-364.77</v>
      </c>
      <c r="AL67" s="57">
        <v>-98.52</v>
      </c>
      <c r="AM67" s="57">
        <v>42182.34</v>
      </c>
      <c r="AN67" s="57">
        <v>286.00700000000001</v>
      </c>
      <c r="AO67" s="57">
        <v>-1030.1179999999999</v>
      </c>
      <c r="AP67" s="57">
        <v>-0.77600000000000002</v>
      </c>
    </row>
    <row r="68" spans="1:42" x14ac:dyDescent="0.2">
      <c r="A68" s="58"/>
      <c r="B68" s="64" t="s">
        <v>53</v>
      </c>
      <c r="C68" s="61">
        <f>VLOOKUP(D48,Parametros!E2:G6,3,FALSE)</f>
        <v>1.98</v>
      </c>
      <c r="D68" s="58" t="s">
        <v>233</v>
      </c>
      <c r="E68" s="58"/>
      <c r="F68" s="58"/>
      <c r="G68" s="58"/>
      <c r="H68" s="58"/>
      <c r="I68" s="58"/>
      <c r="J68" s="58"/>
      <c r="K68" s="58"/>
      <c r="L68" s="58"/>
      <c r="Q68" s="115">
        <v>0.65</v>
      </c>
      <c r="R68" s="115">
        <v>0.65</v>
      </c>
      <c r="X68" s="57" t="s">
        <v>207</v>
      </c>
      <c r="Y68" s="57">
        <v>125</v>
      </c>
      <c r="Z68" s="57" t="s">
        <v>208</v>
      </c>
      <c r="AA68" s="57">
        <v>-2398.84</v>
      </c>
      <c r="AB68" s="57">
        <v>1143.8599999999999</v>
      </c>
      <c r="AC68" s="57">
        <v>113545.29</v>
      </c>
      <c r="AD68" s="57">
        <v>-1531.998</v>
      </c>
      <c r="AE68" s="57">
        <v>-3290.31</v>
      </c>
      <c r="AF68" s="57">
        <v>-0.97</v>
      </c>
      <c r="AH68" s="57" t="s">
        <v>207</v>
      </c>
      <c r="AI68" s="57">
        <v>125</v>
      </c>
      <c r="AJ68" s="57" t="s">
        <v>209</v>
      </c>
      <c r="AK68" s="57">
        <v>-947.65</v>
      </c>
      <c r="AL68" s="57">
        <v>632.37</v>
      </c>
      <c r="AM68" s="57">
        <v>44255.49</v>
      </c>
      <c r="AN68" s="57">
        <v>-845.08500000000004</v>
      </c>
      <c r="AO68" s="57">
        <v>-1306.4359999999999</v>
      </c>
      <c r="AP68" s="57">
        <v>-0.56999999999999995</v>
      </c>
    </row>
    <row r="69" spans="1:42" x14ac:dyDescent="0.2">
      <c r="A69" s="58"/>
      <c r="B69" s="64" t="s">
        <v>54</v>
      </c>
      <c r="C69" s="84">
        <f>C67/C68</f>
        <v>17.603781794750361</v>
      </c>
      <c r="D69" s="58"/>
      <c r="E69" s="101">
        <v>75</v>
      </c>
      <c r="F69" s="71" t="s">
        <v>55</v>
      </c>
      <c r="G69" s="58"/>
      <c r="H69" s="58"/>
      <c r="I69" s="58"/>
      <c r="J69" s="58"/>
      <c r="K69" s="58"/>
      <c r="L69" s="58"/>
      <c r="Q69" s="115">
        <v>0.65</v>
      </c>
      <c r="R69" s="115">
        <v>0.65</v>
      </c>
      <c r="X69" s="57" t="s">
        <v>207</v>
      </c>
      <c r="Y69" s="57">
        <v>126</v>
      </c>
      <c r="Z69" s="57" t="s">
        <v>208</v>
      </c>
      <c r="AA69" s="57">
        <v>-425.51</v>
      </c>
      <c r="AB69" s="57">
        <v>161.55000000000001</v>
      </c>
      <c r="AC69" s="57">
        <v>128588.38</v>
      </c>
      <c r="AD69" s="57">
        <v>-195.19800000000001</v>
      </c>
      <c r="AE69" s="57">
        <v>-602.80200000000002</v>
      </c>
      <c r="AF69" s="57">
        <v>-0.97</v>
      </c>
      <c r="AH69" s="57" t="s">
        <v>207</v>
      </c>
      <c r="AI69" s="57">
        <v>126</v>
      </c>
      <c r="AJ69" s="57" t="s">
        <v>209</v>
      </c>
      <c r="AK69" s="57">
        <v>-201.52</v>
      </c>
      <c r="AL69" s="57">
        <v>81.48</v>
      </c>
      <c r="AM69" s="57">
        <v>61996.06</v>
      </c>
      <c r="AN69" s="57">
        <v>-95.36</v>
      </c>
      <c r="AO69" s="57">
        <v>-289.94299999999998</v>
      </c>
      <c r="AP69" s="57">
        <v>-0.56999999999999995</v>
      </c>
    </row>
    <row r="70" spans="1:42" x14ac:dyDescent="0.2">
      <c r="A70" s="58"/>
      <c r="B70" s="64" t="s">
        <v>56</v>
      </c>
      <c r="C70" s="61">
        <f>ROUND((D28*100-2*C47-VLOOKUP(D48,Parametros!E2:G6,2,FALSE))/(E69-1),1)</f>
        <v>3.7</v>
      </c>
      <c r="D70" s="58" t="s">
        <v>32</v>
      </c>
      <c r="E70" s="58"/>
      <c r="F70" s="58"/>
      <c r="G70" s="58"/>
      <c r="H70" s="58"/>
      <c r="I70" s="58"/>
      <c r="J70" s="58"/>
      <c r="K70" s="58"/>
      <c r="L70" s="58"/>
      <c r="X70" s="57" t="s">
        <v>207</v>
      </c>
      <c r="Y70" s="57">
        <v>127</v>
      </c>
      <c r="Z70" s="57" t="s">
        <v>208</v>
      </c>
      <c r="AA70" s="57">
        <v>-1409.16</v>
      </c>
      <c r="AB70" s="57">
        <v>-2057.2399999999998</v>
      </c>
      <c r="AC70" s="57">
        <v>114916.35</v>
      </c>
      <c r="AD70" s="57">
        <v>2820.85</v>
      </c>
      <c r="AE70" s="57">
        <v>-1933.877</v>
      </c>
      <c r="AF70" s="57">
        <v>-0.97</v>
      </c>
      <c r="AH70" s="57" t="s">
        <v>207</v>
      </c>
      <c r="AI70" s="57">
        <v>127</v>
      </c>
      <c r="AJ70" s="57" t="s">
        <v>209</v>
      </c>
      <c r="AK70" s="57">
        <v>-658.27</v>
      </c>
      <c r="AL70" s="57">
        <v>-1034.79</v>
      </c>
      <c r="AM70" s="57">
        <v>53983.519999999997</v>
      </c>
      <c r="AN70" s="57">
        <v>1422.0219999999999</v>
      </c>
      <c r="AO70" s="57">
        <v>-907.71</v>
      </c>
      <c r="AP70" s="57">
        <v>-0.56999999999999995</v>
      </c>
    </row>
    <row r="71" spans="1:42" x14ac:dyDescent="0.2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X71" s="57" t="s">
        <v>207</v>
      </c>
      <c r="Y71" s="57">
        <v>191</v>
      </c>
      <c r="Z71" s="57" t="s">
        <v>208</v>
      </c>
      <c r="AA71" s="57">
        <v>107.6</v>
      </c>
      <c r="AB71" s="57">
        <v>-211.05</v>
      </c>
      <c r="AC71" s="57">
        <v>25526.58</v>
      </c>
      <c r="AD71" s="57">
        <v>148.24100000000001</v>
      </c>
      <c r="AE71" s="57">
        <v>75.58</v>
      </c>
      <c r="AF71" s="57">
        <v>-0.25600000000000001</v>
      </c>
      <c r="AH71" s="57" t="s">
        <v>207</v>
      </c>
      <c r="AI71" s="57">
        <v>191</v>
      </c>
      <c r="AJ71" s="57" t="s">
        <v>209</v>
      </c>
      <c r="AK71" s="57">
        <v>52.96</v>
      </c>
      <c r="AL71" s="57">
        <v>-116.43</v>
      </c>
      <c r="AM71" s="57">
        <v>6424.37</v>
      </c>
      <c r="AN71" s="57">
        <v>81.78</v>
      </c>
      <c r="AO71" s="57">
        <v>37.197000000000003</v>
      </c>
      <c r="AP71" s="57">
        <v>-0.17799999999999999</v>
      </c>
    </row>
    <row r="72" spans="1:42" x14ac:dyDescent="0.2">
      <c r="A72" s="58"/>
      <c r="B72" s="76" t="s">
        <v>58</v>
      </c>
      <c r="C72" s="58"/>
      <c r="D72" s="58"/>
      <c r="E72" s="77" t="str">
        <f>CONCATENATE("Usar ",E75," φ ",D48," @ ",C76," cm")</f>
        <v>Usar 13 φ 5/8" @ 26.5 cm</v>
      </c>
      <c r="F72" s="58"/>
      <c r="G72" s="58"/>
      <c r="H72" s="58"/>
      <c r="I72" s="58"/>
      <c r="J72" s="58"/>
      <c r="K72" s="58"/>
      <c r="L72" s="58"/>
    </row>
    <row r="73" spans="1:42" x14ac:dyDescent="0.2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</row>
    <row r="74" spans="1:42" x14ac:dyDescent="0.2">
      <c r="A74" s="58"/>
      <c r="B74" s="64" t="s">
        <v>59</v>
      </c>
      <c r="C74" s="61">
        <f>ROUND(C67*D27/D28,2)</f>
        <v>40.26</v>
      </c>
      <c r="D74" s="58" t="s">
        <v>19</v>
      </c>
      <c r="E74" s="58"/>
      <c r="F74" s="58"/>
      <c r="G74" s="58"/>
      <c r="H74" s="58"/>
      <c r="I74" s="58"/>
      <c r="J74" s="58"/>
      <c r="K74" s="58"/>
      <c r="L74" s="58"/>
      <c r="N74" s="57">
        <f>-(26.5*E42*SQRT(B13)*B8*100)/(106*E42*SQRT(B13)+25*C37)-(26.5*E42*SQRT(B13)*B9*100)/(106*E42*SQRT(B13)+25*C37)-12.5*C37*B8*100/(106*E42*SQRT(B13)+25*C37)-12.5*C37*B9*100/(106*E42*SQRT(B13)+25*C37)+0.5*(625*C37*C37*B8*100*B8*100+625*C37*C37*B9*100*B9*100-1250*C37*C37*B8*100*B9*100+10600*E42*C35*SQRT(B13)+2650*E42*C37*SQRT(B13)*B8*100*B8*100+2650*E42*SQRT(B13)*B9*100*B9*100-5300*E42*SQRT(B13)*B8*100*B9*100+2500*C35*C37+B13*SQRT(2809*E42*E42*B8*100*B8*100+2809*E42*E42*B9*100*B9*100+5618*E42*E42*B8*100*B9*100))/(106*E42*SQRT(B13)+25*C37)</f>
        <v>3635298.1848992053</v>
      </c>
    </row>
    <row r="75" spans="1:42" x14ac:dyDescent="0.2">
      <c r="A75" s="58"/>
      <c r="B75" s="64" t="s">
        <v>54</v>
      </c>
      <c r="C75" s="84">
        <f>C74/C68</f>
        <v>20.333333333333332</v>
      </c>
      <c r="D75" s="58"/>
      <c r="E75" s="101">
        <v>13</v>
      </c>
      <c r="F75" s="71" t="s">
        <v>55</v>
      </c>
      <c r="G75" s="58"/>
      <c r="H75" s="58"/>
      <c r="I75" s="58"/>
      <c r="J75" s="58"/>
      <c r="K75" s="58"/>
      <c r="L75" s="58"/>
    </row>
    <row r="76" spans="1:42" x14ac:dyDescent="0.2">
      <c r="A76" s="58"/>
      <c r="B76" s="64" t="s">
        <v>56</v>
      </c>
      <c r="C76" s="61">
        <f>ROUND((D27*100-2*C47-VLOOKUP(D48,Parametros!E2:G6,2,FALSE))/(E75-1),1)</f>
        <v>26.5</v>
      </c>
      <c r="D76" s="58" t="s">
        <v>32</v>
      </c>
      <c r="E76" s="58"/>
      <c r="F76" s="58"/>
      <c r="G76" s="58"/>
      <c r="H76" s="58"/>
      <c r="I76" s="58"/>
      <c r="J76" s="58"/>
      <c r="K76" s="58"/>
      <c r="L76" s="58"/>
    </row>
    <row r="77" spans="1:42" x14ac:dyDescent="0.2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7">
        <f>ROUND(-(53*E42*SQRT(B13)*B8*100+53*E42*SQRT(B13)*B9*100+25*C37*B8*100+25*C37*B9*100-SQRT(625*(C37*B8*100)^2+625*(C37*B9*100)^2-1250*B8*B9*10000*C37^2+10600*E42*C35*SQRT(B13)+2650*E42*C37*SQRT(B13)*(B8*100)^2+2650*E42*C37*SQRT(B13)*(B9*100)^2-5300*E42*C37*SQRT(B13)*B8*B9*10000+2500*C35*C37+B13*(2809*(E42*B8*100)^2+2809*(E42*B9*100)^2+5618*B8*B9*10000*E42^2)))/(2*106*E42*SQRT(B13)+25*C37),2)</f>
        <v>20.66</v>
      </c>
    </row>
    <row r="78" spans="1:42" x14ac:dyDescent="0.2">
      <c r="A78" s="58" t="s">
        <v>60</v>
      </c>
      <c r="B78" s="76" t="s">
        <v>61</v>
      </c>
      <c r="C78" s="58"/>
      <c r="D78" s="58"/>
      <c r="E78" s="58"/>
      <c r="F78" s="58"/>
      <c r="G78" s="58"/>
      <c r="H78" s="58"/>
      <c r="I78" s="58"/>
      <c r="J78" s="58"/>
      <c r="K78" s="58"/>
      <c r="L78" s="58"/>
    </row>
    <row r="79" spans="1:42" x14ac:dyDescent="0.2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P79" s="57">
        <f>D27*D28*10000-(B8*100+C49)*(B9*100+C49)</f>
        <v>92266.854843749999</v>
      </c>
    </row>
    <row r="80" spans="1:42" x14ac:dyDescent="0.2">
      <c r="A80" s="58"/>
      <c r="B80" s="76" t="s">
        <v>73</v>
      </c>
      <c r="C80" s="58"/>
      <c r="D80" s="58"/>
      <c r="E80" s="58"/>
      <c r="F80" s="58"/>
      <c r="G80" s="98" t="s">
        <v>236</v>
      </c>
      <c r="H80" s="76">
        <f>HLOOKUP(D2,Parametros!B2:C5,3,FALSE)</f>
        <v>0.65</v>
      </c>
      <c r="I80" s="58"/>
      <c r="J80" s="58"/>
      <c r="K80" s="58"/>
      <c r="L80" s="58"/>
    </row>
    <row r="81" spans="1:16" x14ac:dyDescent="0.2">
      <c r="A81" s="58"/>
      <c r="B81" s="58"/>
      <c r="C81" s="58"/>
      <c r="D81" s="58"/>
      <c r="E81" s="58"/>
      <c r="F81" s="58"/>
      <c r="G81" s="64"/>
      <c r="H81" s="70"/>
      <c r="I81" s="58"/>
      <c r="J81" s="58"/>
      <c r="K81" s="58"/>
      <c r="L81" s="58"/>
      <c r="M81" s="57" t="s">
        <v>193</v>
      </c>
    </row>
    <row r="82" spans="1:16" x14ac:dyDescent="0.2">
      <c r="A82" s="58"/>
      <c r="B82" s="58"/>
      <c r="C82" s="58"/>
      <c r="D82" s="122" t="s">
        <v>74</v>
      </c>
      <c r="E82" s="122"/>
      <c r="F82" s="122" t="s">
        <v>238</v>
      </c>
      <c r="G82" s="122"/>
      <c r="H82" s="61">
        <f>C35/H80</f>
        <v>111608.12307692308</v>
      </c>
      <c r="I82" s="58" t="s">
        <v>7</v>
      </c>
      <c r="J82" s="58"/>
      <c r="K82" s="58"/>
      <c r="L82" s="58"/>
      <c r="M82" s="64" t="s">
        <v>84</v>
      </c>
      <c r="N82" s="57">
        <f>1.06*0.75*SQRT(B13)*(2*(2*C49+B8*100+B9*100))*C49</f>
        <v>70747.766727087466</v>
      </c>
      <c r="O82" s="57" t="s">
        <v>7</v>
      </c>
      <c r="P82" s="57">
        <f>N82/3.6238/0.50595</f>
        <v>38586.991045363349</v>
      </c>
    </row>
    <row r="83" spans="1:16" x14ac:dyDescent="0.2">
      <c r="A83" s="58"/>
      <c r="B83" s="58"/>
      <c r="C83" s="58"/>
      <c r="D83" s="122" t="s">
        <v>78</v>
      </c>
      <c r="E83" s="122"/>
      <c r="F83" s="122" t="s">
        <v>237</v>
      </c>
      <c r="G83" s="122"/>
      <c r="H83" s="58">
        <f>0.85*B14*B8*B9*10000</f>
        <v>535500</v>
      </c>
      <c r="I83" s="58" t="s">
        <v>7</v>
      </c>
      <c r="J83" s="58"/>
      <c r="K83" s="58"/>
      <c r="L83" s="58"/>
      <c r="M83" s="75" t="s">
        <v>30</v>
      </c>
      <c r="N83" s="57">
        <f>C35-C37*(B8*100+C49)*(B9*100+C49)-P85</f>
        <v>65252.451741826037</v>
      </c>
      <c r="O83" s="57" t="s">
        <v>7</v>
      </c>
      <c r="P83" s="57">
        <f>N83/3.6238/0.50595</f>
        <v>35589.756221743868</v>
      </c>
    </row>
    <row r="84" spans="1:16" x14ac:dyDescent="0.2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</row>
    <row r="85" spans="1:16" x14ac:dyDescent="0.2">
      <c r="A85" s="58"/>
      <c r="B85" s="58"/>
      <c r="C85" s="58"/>
      <c r="D85" s="124" t="str">
        <f>IF(H82&lt;=H83,"Pn &lt; Pnb ……….(No Necesita Dowels)","Pn &gt; Pnb ……….(Necesita Dowels)")</f>
        <v>Pn &lt; Pnb ……….(No Necesita Dowels)</v>
      </c>
      <c r="E85" s="124"/>
      <c r="F85" s="124"/>
      <c r="G85" s="124"/>
      <c r="H85" s="124"/>
      <c r="I85" s="58"/>
      <c r="J85" s="58"/>
      <c r="K85" s="58"/>
      <c r="L85" s="58"/>
      <c r="P85" s="57">
        <f>C35-C37*(D27*D28*10000-(B8*100+C49)*(B9*100+C49))</f>
        <v>3646.4141290869884</v>
      </c>
    </row>
    <row r="86" spans="1:16" x14ac:dyDescent="0.2">
      <c r="A86" s="58"/>
      <c r="B86" s="58"/>
      <c r="C86" s="58"/>
      <c r="E86" s="78" t="str">
        <f>IF(H82&lt;=H83,"Asmin  =","As  =")</f>
        <v>Asmin  =</v>
      </c>
      <c r="F86" s="112">
        <f>IF(H82&lt;=H83,0.005*B8*B9*10000,(H82-H83)/B15)</f>
        <v>11.25</v>
      </c>
      <c r="G86" s="77" t="s">
        <v>19</v>
      </c>
      <c r="H86" s="58"/>
      <c r="I86" s="58"/>
      <c r="J86" s="58"/>
      <c r="K86" s="58"/>
      <c r="L86" s="58"/>
      <c r="N86" s="57">
        <f>66.5/2.5</f>
        <v>26.6</v>
      </c>
    </row>
    <row r="87" spans="1:16" s="58" customFormat="1" ht="6" customHeight="1" x14ac:dyDescent="0.2"/>
    <row r="88" spans="1:16" x14ac:dyDescent="0.2">
      <c r="A88" s="58"/>
      <c r="B88" s="76" t="s">
        <v>75</v>
      </c>
      <c r="C88" s="58"/>
      <c r="D88" s="58"/>
      <c r="E88" s="58"/>
      <c r="F88" s="58"/>
      <c r="G88" s="58"/>
      <c r="H88" s="58"/>
      <c r="I88" s="58"/>
      <c r="J88" s="58"/>
      <c r="K88" s="58"/>
      <c r="L88" s="58"/>
    </row>
    <row r="89" spans="1:16" x14ac:dyDescent="0.2">
      <c r="A89" s="58"/>
      <c r="B89" s="58"/>
      <c r="C89" s="58"/>
      <c r="D89" s="58"/>
      <c r="E89" s="58"/>
      <c r="F89" s="132" t="s">
        <v>239</v>
      </c>
      <c r="G89" s="132"/>
      <c r="H89" s="61">
        <f>B8*B9</f>
        <v>0.22499999999999998</v>
      </c>
      <c r="I89" s="58" t="s">
        <v>241</v>
      </c>
      <c r="J89" s="58"/>
      <c r="K89" s="58"/>
      <c r="L89" s="58"/>
    </row>
    <row r="90" spans="1:16" x14ac:dyDescent="0.2">
      <c r="A90" s="58"/>
      <c r="B90" s="58"/>
      <c r="C90" s="58"/>
      <c r="D90" s="58"/>
      <c r="E90" s="58"/>
      <c r="F90" s="132" t="s">
        <v>240</v>
      </c>
      <c r="G90" s="132"/>
      <c r="H90" s="61">
        <f>ROUND(D27*D27*B9/B8,2)</f>
        <v>4.49</v>
      </c>
      <c r="I90" s="58" t="s">
        <v>241</v>
      </c>
      <c r="J90" s="58"/>
      <c r="K90" s="58"/>
      <c r="L90" s="58"/>
    </row>
    <row r="91" spans="1:16" x14ac:dyDescent="0.2">
      <c r="A91" s="58"/>
      <c r="B91" s="58"/>
      <c r="C91" s="58"/>
      <c r="D91" s="58"/>
      <c r="E91" s="58"/>
      <c r="F91" s="79" t="s">
        <v>77</v>
      </c>
      <c r="G91" s="133" t="s">
        <v>24</v>
      </c>
      <c r="H91" s="134">
        <f>ROUND(SQRT(H90/H89),2)</f>
        <v>4.47</v>
      </c>
      <c r="I91" s="58"/>
      <c r="J91" s="134">
        <f>IF(H91&lt;=2,H8,2)</f>
        <v>2</v>
      </c>
      <c r="K91" s="58"/>
      <c r="L91" s="58"/>
    </row>
    <row r="92" spans="1:16" x14ac:dyDescent="0.2">
      <c r="A92" s="58"/>
      <c r="B92" s="58"/>
      <c r="C92" s="58"/>
      <c r="D92" s="58"/>
      <c r="E92" s="58"/>
      <c r="F92" s="58" t="s">
        <v>76</v>
      </c>
      <c r="G92" s="133"/>
      <c r="H92" s="134"/>
      <c r="I92" s="58"/>
      <c r="J92" s="134"/>
      <c r="K92" s="58"/>
      <c r="L92" s="58"/>
    </row>
    <row r="93" spans="1:16" x14ac:dyDescent="0.2">
      <c r="A93" s="58"/>
      <c r="B93" s="58"/>
      <c r="C93" s="58"/>
      <c r="D93" s="58"/>
      <c r="E93" s="58"/>
      <c r="F93" s="132" t="s">
        <v>242</v>
      </c>
      <c r="G93" s="132"/>
      <c r="H93" s="61">
        <f>J91*H89</f>
        <v>0.44999999999999996</v>
      </c>
      <c r="I93" s="58" t="s">
        <v>241</v>
      </c>
      <c r="J93" s="58"/>
      <c r="K93" s="58"/>
      <c r="L93" s="58"/>
    </row>
    <row r="94" spans="1:16" x14ac:dyDescent="0.2">
      <c r="A94" s="58"/>
      <c r="B94" s="58"/>
      <c r="C94" s="58"/>
      <c r="D94" s="58"/>
      <c r="E94" s="58"/>
      <c r="F94" s="132" t="s">
        <v>237</v>
      </c>
      <c r="G94" s="132"/>
      <c r="H94" s="58">
        <f>0.85*B13*H93*10000</f>
        <v>803249.99999999988</v>
      </c>
      <c r="I94" s="58" t="s">
        <v>7</v>
      </c>
      <c r="J94" s="58"/>
      <c r="K94" s="58"/>
      <c r="L94" s="58"/>
    </row>
    <row r="95" spans="1:16" x14ac:dyDescent="0.2">
      <c r="A95" s="58"/>
      <c r="B95" s="58"/>
      <c r="C95" s="58"/>
      <c r="D95" s="124" t="str">
        <f>IF(H82&gt;=H94,"Pn &gt; Pnb ……….(Necesita Dowels)","Pn &lt; Pnb ……….(No Necesita Dowels)")</f>
        <v>Pn &lt; Pnb ……….(No Necesita Dowels)</v>
      </c>
      <c r="E95" s="124"/>
      <c r="F95" s="124"/>
      <c r="G95" s="124"/>
      <c r="H95" s="124"/>
      <c r="I95" s="58"/>
      <c r="J95" s="58"/>
      <c r="K95" s="58"/>
      <c r="L95" s="58"/>
    </row>
    <row r="96" spans="1:16" x14ac:dyDescent="0.2">
      <c r="A96" s="58"/>
      <c r="B96" s="58"/>
      <c r="C96" s="58"/>
      <c r="D96" s="58"/>
      <c r="E96" s="78" t="str">
        <f>IF(H82&lt;=H94,"Asmin  =","As  =")</f>
        <v>Asmin  =</v>
      </c>
      <c r="F96" s="113">
        <f>IF(H82&lt;=H94,0.005*B8*B9*10000,(H82-H94)/B15)</f>
        <v>11.25</v>
      </c>
      <c r="G96" s="77" t="s">
        <v>19</v>
      </c>
      <c r="H96" s="58"/>
      <c r="I96" s="58"/>
      <c r="J96" s="58"/>
      <c r="K96" s="58"/>
      <c r="L96" s="58"/>
    </row>
    <row r="97" spans="1:20" x14ac:dyDescent="0.2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</row>
    <row r="98" spans="1:20" x14ac:dyDescent="0.2">
      <c r="A98" s="58"/>
      <c r="B98" s="123" t="s">
        <v>197</v>
      </c>
      <c r="C98" s="123"/>
      <c r="D98" s="123"/>
      <c r="E98" s="123"/>
      <c r="F98" s="123"/>
      <c r="G98" s="102">
        <f>MAX(0.005*B8*B9*10000,F86,F96)</f>
        <v>11.25</v>
      </c>
      <c r="H98" s="71" t="s">
        <v>233</v>
      </c>
      <c r="I98" s="121" t="str">
        <f>CONCATENATE("Usar ",F100," φ",F99)</f>
        <v>Usar 9 φ1/2"</v>
      </c>
      <c r="J98" s="121"/>
      <c r="K98" s="121"/>
      <c r="L98" s="58"/>
    </row>
    <row r="99" spans="1:20" ht="15" customHeight="1" x14ac:dyDescent="0.2">
      <c r="A99" s="58"/>
      <c r="B99" s="71"/>
      <c r="C99" s="125" t="s">
        <v>191</v>
      </c>
      <c r="D99" s="125"/>
      <c r="E99" s="125"/>
      <c r="F99" s="125" t="s">
        <v>37</v>
      </c>
      <c r="G99" s="125"/>
      <c r="H99" s="117" t="s">
        <v>53</v>
      </c>
      <c r="I99" s="117"/>
      <c r="J99" s="83">
        <f>VLOOKUP(F99,Parametros!E2:G7,3,FALSE)</f>
        <v>1.27</v>
      </c>
      <c r="K99" s="71" t="s">
        <v>233</v>
      </c>
      <c r="L99" s="58"/>
    </row>
    <row r="100" spans="1:20" x14ac:dyDescent="0.2">
      <c r="A100" s="58"/>
      <c r="B100" s="71"/>
      <c r="C100" s="71"/>
      <c r="D100" s="117" t="s">
        <v>192</v>
      </c>
      <c r="E100" s="117"/>
      <c r="F100" s="81">
        <f>ROUNDUP(G98/J99,0)</f>
        <v>9</v>
      </c>
      <c r="G100" s="71"/>
      <c r="H100" s="71"/>
      <c r="I100" s="71"/>
      <c r="J100" s="71"/>
      <c r="K100" s="71"/>
      <c r="L100" s="58"/>
    </row>
    <row r="101" spans="1:20" x14ac:dyDescent="0.2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75" t="s">
        <v>186</v>
      </c>
      <c r="N101" s="67">
        <f>ROUND(0.075*B15*VLOOKUP(F99,Parametros!E3:G7,2,FALSE)/SQRT(B14),1)</f>
        <v>23.9</v>
      </c>
      <c r="O101" s="57" t="s">
        <v>32</v>
      </c>
    </row>
    <row r="102" spans="1:20" x14ac:dyDescent="0.2">
      <c r="A102" s="58" t="s">
        <v>79</v>
      </c>
      <c r="B102" s="71" t="s">
        <v>196</v>
      </c>
      <c r="C102" s="64"/>
      <c r="D102" s="84"/>
      <c r="E102" s="58"/>
      <c r="F102" s="58"/>
      <c r="G102" s="58"/>
      <c r="H102" s="58"/>
      <c r="I102" s="58"/>
      <c r="J102" s="58"/>
      <c r="K102" s="58"/>
      <c r="L102" s="58"/>
      <c r="M102" s="75" t="s">
        <v>187</v>
      </c>
      <c r="N102" s="67">
        <f>ROUND(0.0044*B15*VLOOKUP(F99,Parametros!E3:G7,2,FALSE),1)</f>
        <v>23.5</v>
      </c>
      <c r="O102" s="57" t="s">
        <v>32</v>
      </c>
    </row>
    <row r="103" spans="1:20" x14ac:dyDescent="0.2">
      <c r="A103" s="58"/>
      <c r="B103" s="58"/>
      <c r="C103" s="64"/>
      <c r="D103" s="84"/>
      <c r="E103" s="85"/>
      <c r="F103" s="58"/>
      <c r="G103" s="58"/>
      <c r="H103" s="58"/>
      <c r="I103" s="58"/>
      <c r="J103" s="58"/>
      <c r="K103" s="58"/>
      <c r="L103" s="58"/>
    </row>
    <row r="104" spans="1:20" x14ac:dyDescent="0.2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75" t="s">
        <v>186</v>
      </c>
      <c r="N104" s="67">
        <f>ROUND(0.075*B15*VLOOKUP(F99,Parametros!E3:G7,2,FALSE)/SQRT(B13),1)</f>
        <v>27.6</v>
      </c>
      <c r="O104" s="57" t="s">
        <v>32</v>
      </c>
    </row>
    <row r="105" spans="1:20" x14ac:dyDescent="0.2">
      <c r="A105" s="58"/>
      <c r="B105" s="58"/>
      <c r="C105" s="58"/>
      <c r="D105" s="58"/>
      <c r="E105" s="58"/>
      <c r="F105" s="58"/>
      <c r="G105" s="58"/>
      <c r="H105" s="86"/>
      <c r="I105" s="87"/>
      <c r="J105" s="69"/>
      <c r="K105" s="58"/>
      <c r="L105" s="58"/>
      <c r="M105" s="75" t="s">
        <v>187</v>
      </c>
      <c r="N105" s="67">
        <f>ROUND(0.0044*B15*VLOOKUP(F99,Parametros!E3:G7,2,FALSE),1)</f>
        <v>23.5</v>
      </c>
      <c r="O105" s="57" t="s">
        <v>32</v>
      </c>
    </row>
    <row r="106" spans="1:20" x14ac:dyDescent="0.2">
      <c r="A106" s="58"/>
      <c r="B106" s="58"/>
      <c r="C106" s="58"/>
      <c r="D106" s="58"/>
      <c r="E106" s="58"/>
      <c r="F106" s="78" t="s">
        <v>229</v>
      </c>
      <c r="G106" s="59">
        <v>20</v>
      </c>
      <c r="H106" s="88" t="s">
        <v>32</v>
      </c>
      <c r="I106" s="58"/>
      <c r="J106" s="58"/>
      <c r="K106" s="58"/>
      <c r="L106" s="58"/>
    </row>
    <row r="107" spans="1:20" x14ac:dyDescent="0.2">
      <c r="A107" s="58"/>
      <c r="B107" s="76" t="s">
        <v>189</v>
      </c>
      <c r="C107" s="58"/>
      <c r="D107" s="58"/>
      <c r="E107" s="107" t="s">
        <v>188</v>
      </c>
      <c r="F107" s="114">
        <f>MAX(N101:N102)</f>
        <v>23.9</v>
      </c>
      <c r="G107" s="108" t="s">
        <v>32</v>
      </c>
      <c r="H107" s="58" t="str">
        <f>IF(F107&gt;=F108,"Valor Predominante"," ")</f>
        <v xml:space="preserve"> </v>
      </c>
      <c r="I107" s="58"/>
      <c r="J107" s="58"/>
      <c r="K107" s="58"/>
      <c r="L107" s="58"/>
      <c r="N107" s="130" t="s">
        <v>160</v>
      </c>
      <c r="O107" s="57" t="s">
        <v>161</v>
      </c>
    </row>
    <row r="108" spans="1:20" x14ac:dyDescent="0.2">
      <c r="A108" s="58"/>
      <c r="B108" s="76" t="s">
        <v>190</v>
      </c>
      <c r="C108" s="58"/>
      <c r="D108" s="58"/>
      <c r="E108" s="107" t="s">
        <v>188</v>
      </c>
      <c r="F108" s="114">
        <f>MAX(N104:N105)</f>
        <v>27.6</v>
      </c>
      <c r="G108" s="108" t="s">
        <v>32</v>
      </c>
      <c r="H108" s="104" t="str">
        <f>IF(F108&gt;=F107,"Valor Predominante"," ")</f>
        <v>Valor Predominante</v>
      </c>
      <c r="I108" s="58"/>
      <c r="J108" s="58"/>
      <c r="K108" s="58"/>
      <c r="L108" s="58"/>
      <c r="N108" s="130"/>
      <c r="O108" s="57" t="s">
        <v>162</v>
      </c>
    </row>
    <row r="109" spans="1:20" x14ac:dyDescent="0.2">
      <c r="A109" s="58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</row>
    <row r="110" spans="1:20" x14ac:dyDescent="0.2">
      <c r="A110" s="58"/>
      <c r="B110" s="71" t="s">
        <v>195</v>
      </c>
      <c r="H110" s="58"/>
      <c r="I110" s="58"/>
      <c r="J110" s="58"/>
      <c r="K110" s="57" t="str">
        <f>CONCATENATE(J48," - ",C47," - ",2*VLOOKUP(D48,Parametros!E2:G7,2,FALSE)," - ",VLOOKUP(F99,Parametros!E2:G7,2,FALSE))</f>
        <v>30 - 7.5 - 3.175 - 1.27</v>
      </c>
      <c r="L110" s="58"/>
      <c r="N110" s="89" t="s">
        <v>163</v>
      </c>
      <c r="O110" s="89" t="s">
        <v>164</v>
      </c>
      <c r="P110" s="89"/>
      <c r="Q110" s="89"/>
      <c r="R110" s="89"/>
      <c r="S110" s="89"/>
      <c r="T110" s="89"/>
    </row>
    <row r="111" spans="1:20" x14ac:dyDescent="0.2">
      <c r="A111" s="58"/>
      <c r="B111" s="58"/>
      <c r="C111" s="58"/>
      <c r="D111" s="58"/>
      <c r="E111" s="58"/>
      <c r="F111" s="58"/>
      <c r="G111" s="58"/>
      <c r="H111" s="58"/>
      <c r="I111" s="58"/>
      <c r="J111" s="78" t="s">
        <v>24</v>
      </c>
      <c r="K111" s="63">
        <f>ROUNDUP(J48-C47-2*VLOOKUP(D48,Parametros!E2:G7,2,FALSE)-VLOOKUP(F99,Parametros!E2:G7,2,FALSE),0)</f>
        <v>19</v>
      </c>
      <c r="L111" s="77" t="s">
        <v>32</v>
      </c>
      <c r="N111" s="89"/>
      <c r="O111" s="89" t="s">
        <v>165</v>
      </c>
      <c r="P111" s="89"/>
      <c r="Q111" s="89"/>
      <c r="R111" s="89"/>
      <c r="S111" s="89"/>
      <c r="T111" s="89"/>
    </row>
    <row r="112" spans="1:20" x14ac:dyDescent="0.2">
      <c r="B112" s="120" t="str">
        <f>IF(F108&lt;K111,"Las Barras(Dowels) se desarrollan adecuadamente","Aumentar la Altura de la Zapata o cambiar el Diamtro de las Barras(Dowels) para garantizar el desarrollo ldc")</f>
        <v>Aumentar la Altura de la Zapata o cambiar el Diamtro de las Barras(Dowels) para garantizar el desarrollo ldc</v>
      </c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</row>
    <row r="113" spans="1:20" x14ac:dyDescent="0.2">
      <c r="A113" s="58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</row>
    <row r="114" spans="1:20" x14ac:dyDescent="0.2">
      <c r="A114" s="58" t="s">
        <v>184</v>
      </c>
      <c r="B114" s="71" t="s">
        <v>183</v>
      </c>
      <c r="C114" s="58"/>
      <c r="D114" s="58"/>
      <c r="E114" s="58"/>
      <c r="F114" s="58"/>
      <c r="G114" s="58"/>
      <c r="H114" s="58"/>
      <c r="I114" s="58"/>
      <c r="J114" s="58"/>
      <c r="K114" s="58"/>
      <c r="L114" s="58"/>
    </row>
    <row r="115" spans="1:20" x14ac:dyDescent="0.2">
      <c r="A115" s="58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</row>
    <row r="116" spans="1:20" x14ac:dyDescent="0.2">
      <c r="A116" s="58"/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O116" s="57" t="s">
        <v>180</v>
      </c>
    </row>
    <row r="117" spans="1:20" x14ac:dyDescent="0.2">
      <c r="A117" s="58"/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7">
        <f>4*1.27</f>
        <v>5.08</v>
      </c>
    </row>
    <row r="118" spans="1:20" x14ac:dyDescent="0.2">
      <c r="A118" s="58"/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</row>
    <row r="119" spans="1:20" x14ac:dyDescent="0.2">
      <c r="A119" s="58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</row>
    <row r="120" spans="1:20" x14ac:dyDescent="0.2">
      <c r="A120" s="58"/>
      <c r="B120" s="58"/>
      <c r="C120" s="98" t="s">
        <v>159</v>
      </c>
      <c r="D120" s="90">
        <f>MIN(O121:O123)</f>
        <v>1.8</v>
      </c>
      <c r="E120" s="58" t="s">
        <v>32</v>
      </c>
      <c r="F120" s="58"/>
      <c r="G120" s="58"/>
      <c r="H120" s="58"/>
      <c r="I120" s="58"/>
      <c r="J120" s="58"/>
      <c r="K120" s="58"/>
      <c r="L120" s="58"/>
    </row>
    <row r="121" spans="1:20" x14ac:dyDescent="0.2">
      <c r="A121" s="58"/>
      <c r="B121" s="58"/>
      <c r="C121" s="98" t="s">
        <v>166</v>
      </c>
      <c r="D121" s="90">
        <v>0</v>
      </c>
      <c r="E121" s="85" t="s">
        <v>167</v>
      </c>
      <c r="F121" s="58"/>
      <c r="G121" s="58"/>
      <c r="H121" s="91">
        <f>SUM(D120:D121)/D122</f>
        <v>1.1338582677165354</v>
      </c>
      <c r="I121" s="58"/>
      <c r="J121" s="92">
        <f>IF(H121&gt;2.5,2.5,H121)</f>
        <v>1.1338582677165354</v>
      </c>
      <c r="K121" s="58"/>
      <c r="L121" s="58"/>
      <c r="O121" s="93">
        <f>ROUND((D28*100-2*(C47+VLOOKUP(D48,Parametros!E2:G6,2,FALSE)))/(2*(E69-1)),1)</f>
        <v>1.8</v>
      </c>
      <c r="P121" s="57" t="s">
        <v>32</v>
      </c>
      <c r="Q121" s="94" t="str">
        <f>CONCATENATE(D28*100," - 2*(",C47," + ",VLOOKUP(D48,Parametros!E2:G6,2,FALSE),")")</f>
        <v>290 - 2*(7.5 + 1.5875)</v>
      </c>
      <c r="R121" s="58"/>
      <c r="T121" s="57" t="str">
        <f>CONCATENATE(C47," + ",VLOOKUP(D48,Parametros!E2:G6,2,FALSE),"/2")</f>
        <v>7.5 + 1.5875/2</v>
      </c>
    </row>
    <row r="122" spans="1:20" x14ac:dyDescent="0.2">
      <c r="A122" s="58"/>
      <c r="B122" s="58"/>
      <c r="C122" s="98" t="s">
        <v>168</v>
      </c>
      <c r="D122" s="61">
        <f>VLOOKUP(D48,Parametros!E2:G6,2,FALSE)</f>
        <v>1.5874999999999999</v>
      </c>
      <c r="E122" s="58" t="s">
        <v>32</v>
      </c>
      <c r="F122" s="58"/>
      <c r="G122" s="58"/>
      <c r="H122" s="58"/>
      <c r="I122" s="58"/>
      <c r="J122" s="58"/>
      <c r="K122" s="94"/>
      <c r="L122" s="58"/>
      <c r="N122" s="64" t="s">
        <v>159</v>
      </c>
      <c r="O122" s="93">
        <f>ROUND(C47+VLOOKUP(D48,Parametros!E2:G6,2,FALSE)/2,1)</f>
        <v>8.3000000000000007</v>
      </c>
      <c r="P122" s="95" t="s">
        <v>32</v>
      </c>
      <c r="Q122" s="131">
        <f>(E69-1)*2</f>
        <v>148</v>
      </c>
      <c r="R122" s="131"/>
    </row>
    <row r="123" spans="1:20" x14ac:dyDescent="0.2">
      <c r="A123" s="58"/>
      <c r="B123" s="58"/>
      <c r="C123" s="98" t="s">
        <v>169</v>
      </c>
      <c r="D123" s="61">
        <f>IF(J48&lt;40,1,1.3)</f>
        <v>1</v>
      </c>
      <c r="E123" s="58"/>
      <c r="F123" s="58"/>
      <c r="G123" s="58"/>
      <c r="H123" s="58"/>
      <c r="I123" s="58"/>
      <c r="J123" s="58"/>
      <c r="K123" s="58"/>
      <c r="L123" s="58"/>
      <c r="N123" s="58"/>
      <c r="O123" s="90">
        <f>ROUND(C47+1.5*VLOOKUP(D48,Parametros!E2:G6,2,FALSE),1)</f>
        <v>9.9</v>
      </c>
      <c r="P123" s="58" t="s">
        <v>32</v>
      </c>
    </row>
    <row r="124" spans="1:20" x14ac:dyDescent="0.2">
      <c r="A124" s="58"/>
      <c r="B124" s="58"/>
      <c r="C124" s="98" t="s">
        <v>170</v>
      </c>
      <c r="D124" s="84">
        <v>1</v>
      </c>
      <c r="E124" s="58"/>
      <c r="F124" s="71" t="str">
        <f>IF(PRODUCT(D123:D124)&lt;=1.7,CONCATENATE("Ψt*Ψe = ",PRODUCT(D123:D124)," &lt; 1.7"),CONCATENATE("Ψt*Ψe = ",PRODUCT(D123:D124)," &gt; 1.7"))</f>
        <v>Ψt*Ψe = 1 &lt; 1.7</v>
      </c>
      <c r="G124" s="58"/>
      <c r="H124" s="58"/>
      <c r="I124" s="58"/>
      <c r="J124" s="58"/>
      <c r="K124" s="58"/>
      <c r="L124" s="58"/>
    </row>
    <row r="125" spans="1:20" x14ac:dyDescent="0.2">
      <c r="A125" s="58"/>
      <c r="B125" s="58"/>
      <c r="C125" s="98" t="s">
        <v>175</v>
      </c>
      <c r="D125" s="61">
        <f>IF(VLOOKUP(D48,Parametros!E2:H6,4,FALSE)&lt;=6,0.8,1)</f>
        <v>0.8</v>
      </c>
      <c r="E125" s="58"/>
      <c r="F125" s="58"/>
      <c r="G125" s="71"/>
      <c r="H125" s="71"/>
      <c r="I125" s="58"/>
      <c r="J125" s="58"/>
      <c r="K125" s="58"/>
      <c r="L125" s="58"/>
      <c r="S125" s="57" t="str">
        <f>CONCATENATE(C47," + 1.5*",VLOOKUP(D48,Parametros!E2:G6,2,FALSE))</f>
        <v>7.5 + 1.5*1.5875</v>
      </c>
    </row>
    <row r="126" spans="1:20" x14ac:dyDescent="0.2">
      <c r="A126" s="58"/>
      <c r="B126" s="58"/>
      <c r="C126" s="98" t="s">
        <v>172</v>
      </c>
      <c r="D126" s="84">
        <v>1</v>
      </c>
      <c r="E126" s="85" t="s">
        <v>173</v>
      </c>
      <c r="F126" s="58"/>
      <c r="G126" s="58"/>
      <c r="H126" s="58"/>
      <c r="I126" s="58"/>
      <c r="J126" s="58"/>
      <c r="K126" s="58"/>
      <c r="L126" s="58"/>
    </row>
    <row r="127" spans="1:20" x14ac:dyDescent="0.2">
      <c r="A127" s="58"/>
      <c r="B127" s="58"/>
      <c r="C127" s="58"/>
      <c r="D127" s="58"/>
      <c r="E127" s="58"/>
      <c r="F127" s="58"/>
      <c r="G127" s="58"/>
      <c r="H127" s="107" t="s">
        <v>174</v>
      </c>
      <c r="I127" s="110">
        <f>ROUND(((B15/(3.51*D126*SQRT(B13)))*(PRODUCT(IF(PRODUCT(D123:D124)&lt;=1.7,PRODUCT(D123:D124),1.7),D125)/J121))*VLOOKUP(D48,Parametros!E2:G6,2,FALSE),0)</f>
        <v>92</v>
      </c>
      <c r="J127" s="104" t="s">
        <v>32</v>
      </c>
      <c r="K127" s="58"/>
      <c r="L127" s="58"/>
    </row>
    <row r="128" spans="1:20" x14ac:dyDescent="0.2">
      <c r="A128" s="58"/>
      <c r="B128" s="58"/>
      <c r="C128" s="58"/>
      <c r="D128" s="58"/>
      <c r="E128" s="58"/>
      <c r="F128" s="58"/>
      <c r="G128" s="58"/>
      <c r="H128" s="96" t="s">
        <v>230</v>
      </c>
      <c r="I128" s="88">
        <v>30</v>
      </c>
      <c r="J128" s="88" t="s">
        <v>32</v>
      </c>
      <c r="K128" s="58"/>
      <c r="L128" s="58"/>
    </row>
    <row r="129" spans="1:19" x14ac:dyDescent="0.2">
      <c r="A129" s="58"/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</row>
    <row r="130" spans="1:19" x14ac:dyDescent="0.2">
      <c r="A130" s="58"/>
      <c r="B130" s="71"/>
      <c r="C130" s="117" t="s">
        <v>176</v>
      </c>
      <c r="D130" s="117"/>
      <c r="E130" s="117"/>
      <c r="F130" s="58"/>
      <c r="G130" s="58"/>
      <c r="H130" s="58"/>
      <c r="I130" s="58"/>
      <c r="J130" s="58"/>
      <c r="K130" s="58"/>
      <c r="L130" s="58"/>
    </row>
    <row r="131" spans="1:19" x14ac:dyDescent="0.2">
      <c r="A131" s="58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</row>
    <row r="132" spans="1:19" x14ac:dyDescent="0.2">
      <c r="A132" s="58"/>
      <c r="B132" s="71"/>
      <c r="C132" s="58"/>
      <c r="D132" s="58"/>
      <c r="E132" s="98" t="s">
        <v>177</v>
      </c>
      <c r="F132" s="109">
        <f>(D27-B8)*0.5</f>
        <v>1.3</v>
      </c>
      <c r="G132" s="71" t="s">
        <v>8</v>
      </c>
      <c r="H132" s="58"/>
      <c r="I132" s="58"/>
      <c r="J132" s="58"/>
      <c r="K132" s="58"/>
      <c r="L132" s="58"/>
      <c r="O132" s="57" t="s">
        <v>181</v>
      </c>
    </row>
    <row r="133" spans="1:19" x14ac:dyDescent="0.2">
      <c r="A133" s="58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</row>
    <row r="134" spans="1:19" x14ac:dyDescent="0.2">
      <c r="A134" s="58"/>
      <c r="B134" s="58"/>
      <c r="C134" s="70" t="s">
        <v>178</v>
      </c>
      <c r="D134" s="90"/>
      <c r="E134" s="58"/>
      <c r="F134" s="58"/>
      <c r="G134" s="58"/>
      <c r="H134" s="58"/>
      <c r="I134" s="117" t="s">
        <v>179</v>
      </c>
      <c r="J134" s="117"/>
      <c r="K134" s="103">
        <f>F132-C47/100</f>
        <v>1.2250000000000001</v>
      </c>
      <c r="L134" s="71" t="s">
        <v>8</v>
      </c>
      <c r="O134" s="57">
        <f>(D27*100-2*(C47+VLOOKUP(D48,Parametros!E2:G6,2,FALSE)))/(2*(E75-1))</f>
        <v>13.201041666666667</v>
      </c>
    </row>
    <row r="135" spans="1:19" x14ac:dyDescent="0.2">
      <c r="A135" s="58"/>
      <c r="B135" s="58"/>
      <c r="C135" s="64"/>
      <c r="D135" s="90"/>
      <c r="E135" s="85"/>
      <c r="F135" s="58"/>
      <c r="G135" s="58"/>
      <c r="H135" s="91"/>
      <c r="I135" s="58"/>
      <c r="J135" s="92"/>
      <c r="K135" s="58"/>
      <c r="L135" s="58"/>
      <c r="N135" s="64" t="s">
        <v>159</v>
      </c>
      <c r="O135" s="57">
        <f>ROUND(C47+VLOOKUP(D48,Parametros!E2:G6,2,FALSE)/2,1)</f>
        <v>8.3000000000000007</v>
      </c>
    </row>
    <row r="136" spans="1:19" x14ac:dyDescent="0.2">
      <c r="A136" s="58"/>
      <c r="B136" s="58"/>
      <c r="C136" s="64"/>
      <c r="D136" s="97"/>
      <c r="E136" s="111" t="str">
        <f>IF(K134*100&lt;I127,"Doblar el Refuerzo hasta completar ld","No se Necesita doblar el Refuerzo")</f>
        <v>No se Necesita doblar el Refuerzo</v>
      </c>
      <c r="F136" s="58"/>
      <c r="G136" s="58"/>
      <c r="H136" s="58"/>
      <c r="I136" s="58"/>
      <c r="J136" s="58"/>
      <c r="K136" s="58"/>
      <c r="L136" s="58"/>
      <c r="Q136" s="126" t="str">
        <f>CONCATENATE(D27*100," - 2*(",C47," + ",VLOOKUP(D48,Parametros!E2:G6,2,FALSE),")")</f>
        <v>335 - 2*(7.5 + 1.5875)</v>
      </c>
      <c r="R136" s="126"/>
      <c r="S136" s="126"/>
    </row>
    <row r="137" spans="1:19" x14ac:dyDescent="0.2">
      <c r="A137" s="58"/>
      <c r="B137" s="58"/>
      <c r="C137" s="64"/>
      <c r="D137" s="84"/>
      <c r="E137" s="58"/>
      <c r="F137" s="58"/>
      <c r="G137" s="58"/>
      <c r="H137" s="58"/>
      <c r="I137" s="58"/>
      <c r="J137" s="58"/>
      <c r="K137" s="58"/>
      <c r="L137" s="58"/>
      <c r="Q137" s="127">
        <f>2*(E75-1)</f>
        <v>24</v>
      </c>
      <c r="R137" s="127"/>
      <c r="S137" s="127"/>
    </row>
    <row r="138" spans="1:19" x14ac:dyDescent="0.2">
      <c r="A138" s="58"/>
      <c r="B138" s="58"/>
    </row>
    <row r="149" spans="1:12" x14ac:dyDescent="0.2">
      <c r="A149" s="58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</row>
    <row r="150" spans="1:12" x14ac:dyDescent="0.2">
      <c r="A150" s="58"/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</row>
    <row r="151" spans="1:12" x14ac:dyDescent="0.2">
      <c r="A151" s="58"/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</row>
    <row r="152" spans="1:12" x14ac:dyDescent="0.2">
      <c r="A152" s="58"/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</row>
    <row r="153" spans="1:12" x14ac:dyDescent="0.2">
      <c r="A153" s="58"/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</row>
    <row r="154" spans="1:12" x14ac:dyDescent="0.2">
      <c r="A154" s="58"/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</row>
    <row r="155" spans="1:12" x14ac:dyDescent="0.2">
      <c r="A155" s="58"/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</row>
    <row r="156" spans="1:12" x14ac:dyDescent="0.2">
      <c r="A156" s="58"/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</row>
    <row r="157" spans="1:12" x14ac:dyDescent="0.2">
      <c r="A157" s="58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</row>
    <row r="158" spans="1:12" x14ac:dyDescent="0.2">
      <c r="A158" s="58"/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</row>
    <row r="159" spans="1:12" x14ac:dyDescent="0.2">
      <c r="A159" s="58"/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</row>
    <row r="160" spans="1:12" x14ac:dyDescent="0.2">
      <c r="A160" s="58"/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</row>
    <row r="161" spans="1:12" x14ac:dyDescent="0.2">
      <c r="A161" s="58"/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</row>
    <row r="162" spans="1:12" x14ac:dyDescent="0.2">
      <c r="A162" s="58"/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</row>
    <row r="163" spans="1:12" x14ac:dyDescent="0.2">
      <c r="A163" s="58"/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</row>
    <row r="164" spans="1:12" x14ac:dyDescent="0.2">
      <c r="A164" s="58"/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</row>
    <row r="165" spans="1:12" x14ac:dyDescent="0.2">
      <c r="A165" s="58"/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</row>
    <row r="166" spans="1:12" x14ac:dyDescent="0.2">
      <c r="A166" s="58"/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</row>
    <row r="167" spans="1:12" x14ac:dyDescent="0.2">
      <c r="A167" s="58"/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</row>
  </sheetData>
  <mergeCells count="31">
    <mergeCell ref="Q136:S136"/>
    <mergeCell ref="Q137:S137"/>
    <mergeCell ref="A1:L1"/>
    <mergeCell ref="D2:I2"/>
    <mergeCell ref="N107:N108"/>
    <mergeCell ref="Q122:R122"/>
    <mergeCell ref="D95:H95"/>
    <mergeCell ref="F82:G82"/>
    <mergeCell ref="F83:G83"/>
    <mergeCell ref="F89:G89"/>
    <mergeCell ref="F90:G90"/>
    <mergeCell ref="G91:G92"/>
    <mergeCell ref="H91:H92"/>
    <mergeCell ref="J91:J92"/>
    <mergeCell ref="F93:G93"/>
    <mergeCell ref="F94:G94"/>
    <mergeCell ref="I134:J134"/>
    <mergeCell ref="F99:G99"/>
    <mergeCell ref="H99:I99"/>
    <mergeCell ref="D100:E100"/>
    <mergeCell ref="C99:E99"/>
    <mergeCell ref="C130:E130"/>
    <mergeCell ref="B48:C48"/>
    <mergeCell ref="F50:H50"/>
    <mergeCell ref="I50:J50"/>
    <mergeCell ref="B112:L112"/>
    <mergeCell ref="I98:K98"/>
    <mergeCell ref="D82:E82"/>
    <mergeCell ref="D83:E83"/>
    <mergeCell ref="B98:F98"/>
    <mergeCell ref="D85:H85"/>
  </mergeCells>
  <dataValidations count="1">
    <dataValidation type="list" allowBlank="1" showInputMessage="1" showErrorMessage="1" sqref="B3">
      <formula1>$M$2:$M$69</formula1>
    </dataValidation>
  </dataValidations>
  <pageMargins left="0.7" right="0.7" top="0.75" bottom="0.75" header="0.3" footer="0.3"/>
  <pageSetup orientation="portrait" horizontalDpi="300" verticalDpi="0" r:id="rId1"/>
  <ignoredErrors>
    <ignoredError sqref="N2:N4" formulaRange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Parametros!$B$2:$C$2</xm:f>
          </x14:formula1>
          <xm:sqref>D2</xm:sqref>
        </x14:dataValidation>
        <x14:dataValidation type="list" allowBlank="1" showInputMessage="1" showErrorMessage="1">
          <x14:formula1>
            <xm:f>Parametros!$E$2:$E$6</xm:f>
          </x14:formula1>
          <xm:sqref>D48</xm:sqref>
        </x14:dataValidation>
        <x14:dataValidation type="list" allowBlank="1" showInputMessage="1" showErrorMessage="1">
          <x14:formula1>
            <xm:f>Parametros!$E$2:$E$7</xm:f>
          </x14:formula1>
          <xm:sqref>F99:G99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95"/>
  <sheetViews>
    <sheetView tabSelected="1" workbookViewId="0">
      <selection activeCell="S3" sqref="S3"/>
    </sheetView>
  </sheetViews>
  <sheetFormatPr baseColWidth="10" defaultRowHeight="12.75" x14ac:dyDescent="0.2"/>
  <cols>
    <col min="1" max="1" width="4.5703125" style="1" customWidth="1"/>
    <col min="2" max="2" width="5.5703125" style="1" bestFit="1" customWidth="1"/>
    <col min="3" max="3" width="6.7109375" style="1" customWidth="1"/>
    <col min="4" max="4" width="7.42578125" style="1" bestFit="1" customWidth="1"/>
    <col min="5" max="5" width="7.140625" style="1" customWidth="1"/>
    <col min="6" max="6" width="6.7109375" style="1" customWidth="1"/>
    <col min="7" max="7" width="8.85546875" style="1" customWidth="1"/>
    <col min="8" max="8" width="4.140625" style="1" customWidth="1"/>
    <col min="9" max="9" width="9.28515625" style="1" customWidth="1"/>
    <col min="10" max="10" width="8.140625" style="1" customWidth="1"/>
    <col min="11" max="11" width="7.42578125" style="1" bestFit="1" customWidth="1"/>
    <col min="12" max="12" width="7.7109375" style="1" customWidth="1"/>
    <col min="13" max="13" width="3.140625" style="1" customWidth="1"/>
    <col min="14" max="16384" width="11.42578125" style="1"/>
  </cols>
  <sheetData>
    <row r="1" spans="1:14" ht="26.25" x14ac:dyDescent="0.55000000000000004">
      <c r="A1" s="136" t="s">
        <v>140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</row>
    <row r="2" spans="1:14" ht="15" customHeight="1" x14ac:dyDescent="0.2">
      <c r="A2" s="5"/>
      <c r="B2" s="5"/>
      <c r="C2" s="5"/>
      <c r="E2" s="135" t="s">
        <v>70</v>
      </c>
      <c r="F2" s="135"/>
      <c r="G2" s="135"/>
      <c r="H2" s="135"/>
      <c r="I2" s="135"/>
      <c r="J2" s="135"/>
      <c r="K2" s="135"/>
      <c r="L2" s="5"/>
      <c r="M2" s="5"/>
      <c r="N2" s="5"/>
    </row>
    <row r="3" spans="1:14" x14ac:dyDescent="0.2">
      <c r="A3" s="5"/>
      <c r="B3" s="5"/>
      <c r="C3" s="5"/>
      <c r="D3" s="5"/>
      <c r="E3" s="5"/>
      <c r="F3" s="5"/>
      <c r="G3" s="5"/>
      <c r="H3" s="5"/>
      <c r="J3" s="141" t="s">
        <v>83</v>
      </c>
      <c r="K3" s="142"/>
      <c r="L3" s="143"/>
      <c r="M3" s="5"/>
      <c r="N3" s="5"/>
    </row>
    <row r="4" spans="1:14" x14ac:dyDescent="0.2">
      <c r="A4" s="5"/>
      <c r="B4" s="140" t="s">
        <v>80</v>
      </c>
      <c r="C4" s="140"/>
      <c r="D4" s="140"/>
      <c r="E4" s="140" t="s">
        <v>82</v>
      </c>
      <c r="F4" s="140"/>
      <c r="G4" s="140"/>
      <c r="H4" s="5"/>
      <c r="I4" s="5"/>
      <c r="J4" s="6" t="s">
        <v>81</v>
      </c>
      <c r="K4" s="52">
        <v>1.5</v>
      </c>
      <c r="L4" s="8" t="s">
        <v>8</v>
      </c>
      <c r="M4" s="5"/>
      <c r="N4" s="5"/>
    </row>
    <row r="5" spans="1:14" x14ac:dyDescent="0.2">
      <c r="A5" s="5"/>
      <c r="B5" s="6" t="s">
        <v>0</v>
      </c>
      <c r="C5" s="45">
        <v>75000</v>
      </c>
      <c r="D5" s="8" t="s">
        <v>7</v>
      </c>
      <c r="E5" s="6" t="s">
        <v>0</v>
      </c>
      <c r="F5" s="48">
        <v>125000</v>
      </c>
      <c r="G5" s="8" t="s">
        <v>7</v>
      </c>
      <c r="H5" s="5"/>
      <c r="I5" s="5"/>
      <c r="J5" s="10" t="s">
        <v>2</v>
      </c>
      <c r="K5" s="53">
        <v>500</v>
      </c>
      <c r="L5" s="11" t="s">
        <v>9</v>
      </c>
      <c r="M5" s="5"/>
      <c r="N5" s="5"/>
    </row>
    <row r="6" spans="1:14" x14ac:dyDescent="0.2">
      <c r="A6" s="5"/>
      <c r="B6" s="10" t="s">
        <v>1</v>
      </c>
      <c r="C6" s="45">
        <v>35000</v>
      </c>
      <c r="D6" s="11" t="s">
        <v>7</v>
      </c>
      <c r="E6" s="10" t="s">
        <v>1</v>
      </c>
      <c r="F6" s="49">
        <v>50000</v>
      </c>
      <c r="G6" s="11" t="s">
        <v>7</v>
      </c>
      <c r="H6" s="5"/>
      <c r="I6" s="5"/>
      <c r="J6" s="10" t="s">
        <v>14</v>
      </c>
      <c r="K6" s="52">
        <v>0.1</v>
      </c>
      <c r="L6" s="11" t="s">
        <v>8</v>
      </c>
      <c r="M6" s="5"/>
      <c r="N6" s="5"/>
    </row>
    <row r="7" spans="1:14" x14ac:dyDescent="0.2">
      <c r="A7" s="5"/>
      <c r="B7" s="10" t="s">
        <v>22</v>
      </c>
      <c r="C7" s="46">
        <v>0.5</v>
      </c>
      <c r="D7" s="11" t="s">
        <v>8</v>
      </c>
      <c r="E7" s="10" t="s">
        <v>22</v>
      </c>
      <c r="F7" s="50">
        <v>0.65</v>
      </c>
      <c r="G7" s="11" t="s">
        <v>8</v>
      </c>
      <c r="H7" s="5"/>
      <c r="I7" s="5"/>
      <c r="J7" s="10" t="s">
        <v>3</v>
      </c>
      <c r="K7" s="53">
        <v>2100</v>
      </c>
      <c r="L7" s="11" t="s">
        <v>10</v>
      </c>
      <c r="M7" s="5"/>
      <c r="N7" s="5"/>
    </row>
    <row r="8" spans="1:14" x14ac:dyDescent="0.2">
      <c r="A8" s="5"/>
      <c r="B8" s="10" t="s">
        <v>21</v>
      </c>
      <c r="C8" s="46">
        <v>0.5</v>
      </c>
      <c r="D8" s="11" t="s">
        <v>8</v>
      </c>
      <c r="E8" s="10" t="s">
        <v>21</v>
      </c>
      <c r="F8" s="50">
        <v>0.65</v>
      </c>
      <c r="G8" s="11" t="s">
        <v>8</v>
      </c>
      <c r="H8" s="5"/>
      <c r="I8" s="5"/>
      <c r="J8" s="10" t="s">
        <v>4</v>
      </c>
      <c r="K8" s="52">
        <v>2</v>
      </c>
      <c r="L8" s="11" t="s">
        <v>11</v>
      </c>
      <c r="M8" s="5"/>
      <c r="N8" s="5"/>
    </row>
    <row r="9" spans="1:14" x14ac:dyDescent="0.2">
      <c r="A9" s="5"/>
      <c r="B9" s="12" t="s">
        <v>5</v>
      </c>
      <c r="C9" s="47">
        <v>210</v>
      </c>
      <c r="D9" s="13" t="s">
        <v>11</v>
      </c>
      <c r="E9" s="12" t="s">
        <v>5</v>
      </c>
      <c r="F9" s="51">
        <v>210</v>
      </c>
      <c r="G9" s="13" t="s">
        <v>11</v>
      </c>
      <c r="H9" s="5"/>
      <c r="I9" s="5"/>
      <c r="J9" s="10" t="s">
        <v>5</v>
      </c>
      <c r="K9" s="53">
        <v>175</v>
      </c>
      <c r="L9" s="11" t="s">
        <v>11</v>
      </c>
      <c r="M9" s="5"/>
      <c r="N9" s="5"/>
    </row>
    <row r="10" spans="1:14" x14ac:dyDescent="0.2">
      <c r="A10" s="5"/>
      <c r="B10" s="5"/>
      <c r="C10" s="5"/>
      <c r="D10" s="5"/>
      <c r="E10" s="5"/>
      <c r="F10" s="5"/>
      <c r="G10" s="5"/>
      <c r="H10" s="5"/>
      <c r="I10" s="5"/>
      <c r="J10" s="12" t="s">
        <v>6</v>
      </c>
      <c r="K10" s="51">
        <v>4200</v>
      </c>
      <c r="L10" s="13" t="s">
        <v>11</v>
      </c>
      <c r="M10" s="5"/>
      <c r="N10" s="5"/>
    </row>
    <row r="11" spans="1:14" x14ac:dyDescent="0.2">
      <c r="A11" s="5"/>
      <c r="B11" s="14"/>
      <c r="C11" s="14"/>
      <c r="D11" s="14"/>
      <c r="E11" s="15" t="s">
        <v>87</v>
      </c>
      <c r="F11" s="55">
        <v>5</v>
      </c>
      <c r="G11" s="14" t="s">
        <v>8</v>
      </c>
      <c r="H11" s="5"/>
      <c r="I11" s="5"/>
      <c r="J11" s="5"/>
      <c r="K11" s="5"/>
      <c r="L11" s="5"/>
      <c r="M11" s="5"/>
      <c r="N11" s="5"/>
    </row>
    <row r="12" spans="1:14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 ht="6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ht="10.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x14ac:dyDescent="0.2">
      <c r="A34" s="5"/>
      <c r="B34" s="5" t="s">
        <v>12</v>
      </c>
      <c r="C34" s="139" t="s">
        <v>13</v>
      </c>
      <c r="D34" s="139"/>
      <c r="E34" s="139"/>
      <c r="F34" s="139"/>
      <c r="G34" s="5"/>
      <c r="H34" s="5"/>
      <c r="I34" s="5"/>
      <c r="J34" s="5"/>
      <c r="K34" s="5"/>
      <c r="L34" s="5"/>
      <c r="M34" s="5"/>
      <c r="N34" s="5"/>
    </row>
    <row r="35" spans="1:14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ht="15" x14ac:dyDescent="0.25">
      <c r="A36" s="5"/>
      <c r="B36" s="5"/>
      <c r="C36" s="5"/>
      <c r="D36" s="17" t="s">
        <v>15</v>
      </c>
      <c r="E36" s="9">
        <f>ROUND(K8-K7*K4*10^-4-2400*K6*10^-4-K5*10^-4,2)</f>
        <v>1.61</v>
      </c>
      <c r="F36" s="5" t="s">
        <v>11</v>
      </c>
      <c r="G36" s="5"/>
      <c r="H36" s="5"/>
      <c r="I36" s="5"/>
      <c r="J36" s="5"/>
      <c r="K36" s="5"/>
      <c r="L36" s="5"/>
      <c r="M36" s="5"/>
      <c r="N36" s="5"/>
    </row>
    <row r="37" spans="1:14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 x14ac:dyDescent="0.2">
      <c r="A38" s="5"/>
      <c r="B38" s="5" t="s">
        <v>16</v>
      </c>
      <c r="C38" s="18" t="s">
        <v>17</v>
      </c>
      <c r="D38" s="18"/>
      <c r="E38" s="18"/>
      <c r="F38" s="5"/>
      <c r="G38" s="5"/>
      <c r="H38" s="5"/>
      <c r="I38" s="5"/>
      <c r="J38" s="5"/>
      <c r="K38" s="5"/>
      <c r="L38" s="5"/>
      <c r="M38" s="5"/>
      <c r="N38" s="5"/>
    </row>
    <row r="39" spans="1:14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x14ac:dyDescent="0.2">
      <c r="A40" s="5"/>
      <c r="B40" s="5"/>
      <c r="C40" s="36" t="s">
        <v>86</v>
      </c>
      <c r="D40" s="5">
        <f>SUM(C5:C6,F5:F6)</f>
        <v>285000</v>
      </c>
      <c r="E40" s="5" t="s">
        <v>7</v>
      </c>
      <c r="F40" s="5"/>
      <c r="G40" s="5"/>
      <c r="H40" s="5"/>
      <c r="I40" s="5"/>
      <c r="J40" s="5"/>
      <c r="K40" s="5"/>
      <c r="L40" s="5"/>
      <c r="M40" s="5"/>
      <c r="N40" s="5"/>
    </row>
    <row r="41" spans="1:14" x14ac:dyDescent="0.2">
      <c r="A41" s="5"/>
      <c r="B41" s="5"/>
      <c r="C41" s="36" t="s">
        <v>18</v>
      </c>
      <c r="D41" s="5">
        <f>D40/E36</f>
        <v>177018.63354037266</v>
      </c>
      <c r="E41" s="5" t="s">
        <v>19</v>
      </c>
      <c r="F41" s="5"/>
      <c r="G41" s="5"/>
      <c r="H41" s="5"/>
      <c r="I41" s="5"/>
      <c r="J41" s="5"/>
      <c r="K41" s="5"/>
      <c r="L41" s="5"/>
      <c r="M41" s="5"/>
      <c r="N41" s="5"/>
    </row>
    <row r="42" spans="1:14" x14ac:dyDescent="0.2">
      <c r="A42" s="5"/>
      <c r="B42" s="5"/>
      <c r="C42" s="36" t="s">
        <v>88</v>
      </c>
      <c r="D42" s="9">
        <f>ROUND((SUM(C5:C6)*0.5*C7+SUM(F5:F6)*(F11+C7+0.5*F7))/D40,2)</f>
        <v>3.67</v>
      </c>
      <c r="E42" s="5" t="s">
        <v>8</v>
      </c>
      <c r="F42" s="5"/>
      <c r="G42" s="5"/>
      <c r="H42" s="5"/>
      <c r="I42" s="5"/>
      <c r="J42" s="5"/>
      <c r="K42" s="5"/>
      <c r="L42" s="5"/>
      <c r="M42" s="5"/>
      <c r="N42" s="5"/>
    </row>
    <row r="43" spans="1:14" x14ac:dyDescent="0.2">
      <c r="A43" s="5"/>
      <c r="B43" s="5"/>
      <c r="C43" s="36" t="s">
        <v>89</v>
      </c>
      <c r="D43" s="9">
        <f>2*D42</f>
        <v>7.34</v>
      </c>
      <c r="E43" s="5" t="s">
        <v>8</v>
      </c>
      <c r="F43" s="19">
        <v>7.35</v>
      </c>
      <c r="G43" s="5" t="s">
        <v>8</v>
      </c>
      <c r="H43" s="5"/>
      <c r="I43" s="5"/>
      <c r="J43" s="5"/>
      <c r="K43" s="5"/>
      <c r="L43" s="5"/>
      <c r="M43" s="5"/>
      <c r="N43" s="5"/>
    </row>
    <row r="44" spans="1:14" x14ac:dyDescent="0.2">
      <c r="A44" s="5"/>
      <c r="B44" s="5"/>
      <c r="C44" s="36" t="s">
        <v>90</v>
      </c>
      <c r="D44" s="7">
        <f>F43-(C7+F11+F7)</f>
        <v>1.1999999999999993</v>
      </c>
      <c r="E44" s="5" t="s">
        <v>8</v>
      </c>
      <c r="F44" s="5"/>
      <c r="G44" s="5"/>
      <c r="H44" s="5"/>
      <c r="I44" s="5"/>
      <c r="J44" s="5"/>
      <c r="K44" s="5"/>
      <c r="L44" s="5"/>
      <c r="M44" s="5"/>
      <c r="N44" s="5"/>
    </row>
    <row r="45" spans="1:14" x14ac:dyDescent="0.2">
      <c r="A45" s="5"/>
      <c r="B45" s="5"/>
      <c r="C45" s="36" t="s">
        <v>91</v>
      </c>
      <c r="D45" s="9">
        <f>D41/(F43*100)</f>
        <v>240.84167828622131</v>
      </c>
      <c r="E45" s="5" t="s">
        <v>32</v>
      </c>
      <c r="F45" s="19">
        <v>240</v>
      </c>
      <c r="G45" s="5" t="s">
        <v>32</v>
      </c>
      <c r="H45" s="5"/>
      <c r="I45" s="5"/>
      <c r="J45" s="5"/>
      <c r="K45" s="5"/>
      <c r="L45" s="5"/>
      <c r="M45" s="5"/>
      <c r="N45" s="5"/>
    </row>
    <row r="46" spans="1:14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 x14ac:dyDescent="0.2">
      <c r="A48" s="5"/>
      <c r="B48" s="5" t="s">
        <v>25</v>
      </c>
      <c r="C48" s="139" t="s">
        <v>92</v>
      </c>
      <c r="D48" s="139"/>
      <c r="E48" s="139"/>
      <c r="F48" s="139"/>
      <c r="G48" s="5"/>
      <c r="H48" s="5"/>
      <c r="I48" s="5"/>
      <c r="J48" s="5"/>
      <c r="K48" s="5"/>
      <c r="L48" s="5"/>
      <c r="M48" s="5"/>
      <c r="N48" s="5"/>
    </row>
    <row r="49" spans="1:14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x14ac:dyDescent="0.2">
      <c r="A50" s="5"/>
      <c r="B50" s="5"/>
      <c r="C50" s="14" t="s">
        <v>93</v>
      </c>
      <c r="D50" s="5"/>
      <c r="E50" s="5"/>
      <c r="F50" s="5"/>
      <c r="G50" s="5"/>
      <c r="H50" s="14" t="s">
        <v>95</v>
      </c>
      <c r="I50" s="5"/>
      <c r="J50" s="5"/>
      <c r="K50" s="5"/>
      <c r="L50" s="5"/>
      <c r="M50" s="5"/>
      <c r="N50" s="5"/>
    </row>
    <row r="51" spans="1:14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x14ac:dyDescent="0.2">
      <c r="A52" s="5"/>
      <c r="B52" s="5"/>
      <c r="C52" s="36" t="s">
        <v>98</v>
      </c>
      <c r="D52" s="9">
        <f>HLOOKUP(E2,Parametros!B8:C10,2,FALSE)*C5+HLOOKUP(E2,Parametros!B8:C10,3,FALSE)*C6</f>
        <v>146000</v>
      </c>
      <c r="E52" s="5" t="s">
        <v>7</v>
      </c>
      <c r="F52" s="5"/>
      <c r="G52" s="5"/>
      <c r="H52" s="36" t="s">
        <v>96</v>
      </c>
      <c r="I52" s="9">
        <f>D54</f>
        <v>51156.462585034016</v>
      </c>
      <c r="J52" s="5" t="s">
        <v>97</v>
      </c>
      <c r="K52" s="5"/>
      <c r="L52" s="5"/>
      <c r="M52" s="5"/>
      <c r="N52" s="5"/>
    </row>
    <row r="53" spans="1:14" x14ac:dyDescent="0.2">
      <c r="A53" s="5"/>
      <c r="B53" s="5"/>
      <c r="C53" s="36" t="s">
        <v>99</v>
      </c>
      <c r="D53" s="9">
        <f>HLOOKUP(E2,Parametros!B8:C10,2,FALSE)*F5+HLOOKUP(E2,Parametros!B8:C10,3,FALSE)*F6</f>
        <v>230000</v>
      </c>
      <c r="E53" s="5" t="s">
        <v>7</v>
      </c>
      <c r="F53" s="5"/>
      <c r="G53" s="5"/>
      <c r="H53" s="36" t="s">
        <v>91</v>
      </c>
      <c r="I53" s="9">
        <f>F45</f>
        <v>240</v>
      </c>
      <c r="J53" s="5" t="s">
        <v>32</v>
      </c>
      <c r="K53" s="5"/>
      <c r="L53" s="5"/>
      <c r="M53" s="5"/>
      <c r="N53" s="5"/>
    </row>
    <row r="54" spans="1:14" x14ac:dyDescent="0.2">
      <c r="A54" s="5"/>
      <c r="B54" s="5"/>
      <c r="C54" s="36" t="s">
        <v>96</v>
      </c>
      <c r="D54" s="9">
        <f>SUM(D52:D53)/F43</f>
        <v>51156.462585034016</v>
      </c>
      <c r="E54" s="5" t="s">
        <v>97</v>
      </c>
      <c r="F54" s="5"/>
      <c r="G54" s="5"/>
      <c r="H54" s="5" t="s">
        <v>94</v>
      </c>
      <c r="I54" s="9">
        <f>ROUND(I52/I53/100,2)</f>
        <v>2.13</v>
      </c>
      <c r="J54" s="5" t="s">
        <v>11</v>
      </c>
      <c r="K54" s="5"/>
      <c r="L54" s="5"/>
      <c r="M54" s="5"/>
      <c r="N54" s="5"/>
    </row>
    <row r="55" spans="1:14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x14ac:dyDescent="0.2">
      <c r="A61" s="5"/>
      <c r="B61" s="5" t="s">
        <v>25</v>
      </c>
      <c r="C61" s="18" t="s">
        <v>100</v>
      </c>
      <c r="D61" s="18"/>
      <c r="E61" s="18"/>
      <c r="F61" s="18"/>
      <c r="G61" s="18"/>
      <c r="H61" s="5"/>
      <c r="I61" s="5"/>
      <c r="J61" s="5"/>
      <c r="K61" s="5"/>
      <c r="L61" s="5"/>
      <c r="M61" s="5"/>
      <c r="N61" s="5"/>
    </row>
    <row r="62" spans="1:14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x14ac:dyDescent="0.2">
      <c r="A63" s="5"/>
      <c r="B63" s="5"/>
      <c r="C63" s="5" t="s">
        <v>101</v>
      </c>
      <c r="D63" s="5"/>
      <c r="E63" s="5"/>
      <c r="F63" s="19">
        <v>3.5999999999999999E-3</v>
      </c>
      <c r="G63" s="5"/>
      <c r="H63" s="20" t="s">
        <v>29</v>
      </c>
      <c r="I63" s="21">
        <f>HLOOKUP(E2,Parametros!B2:C5,2,FALSE)</f>
        <v>0.9</v>
      </c>
      <c r="J63" s="5"/>
      <c r="K63" s="5"/>
      <c r="L63" s="5"/>
      <c r="M63" s="5"/>
      <c r="N63" s="5"/>
    </row>
    <row r="64" spans="1:14" x14ac:dyDescent="0.2">
      <c r="A64" s="5"/>
      <c r="B64" s="5"/>
      <c r="C64" s="5"/>
      <c r="D64" s="5"/>
      <c r="E64" s="5" t="s">
        <v>51</v>
      </c>
      <c r="F64" s="5">
        <v>1.8E-3</v>
      </c>
      <c r="G64" s="5"/>
      <c r="H64" s="5"/>
      <c r="I64" s="5"/>
      <c r="J64" s="5"/>
      <c r="K64" s="5"/>
      <c r="L64" s="5"/>
      <c r="M64" s="5"/>
      <c r="N64" s="5"/>
    </row>
    <row r="65" spans="1:14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ht="15" customHeight="1" x14ac:dyDescent="0.2">
      <c r="A77" s="5"/>
      <c r="B77" s="5"/>
      <c r="C77" s="5"/>
      <c r="D77" s="5"/>
      <c r="E77" s="5"/>
      <c r="F77" s="5"/>
      <c r="G77" s="5"/>
      <c r="H77" s="18"/>
      <c r="I77" s="36" t="s">
        <v>88</v>
      </c>
      <c r="J77" s="9">
        <f>ROUND(D52/D54,3)</f>
        <v>2.8540000000000001</v>
      </c>
      <c r="K77" s="5" t="s">
        <v>8</v>
      </c>
      <c r="L77" s="5"/>
      <c r="M77" s="5"/>
      <c r="N77" s="5"/>
    </row>
    <row r="78" spans="1:14" x14ac:dyDescent="0.2">
      <c r="A78" s="5"/>
      <c r="B78" s="5"/>
      <c r="C78" s="5"/>
      <c r="D78" s="5"/>
      <c r="E78" s="5"/>
      <c r="F78" s="5"/>
      <c r="G78" s="5"/>
      <c r="H78" s="138" t="s">
        <v>102</v>
      </c>
      <c r="I78" s="138"/>
      <c r="J78" s="9">
        <f>D54*0.5*J77^2-D52*(J77-0.5*C7)</f>
        <v>-171841.2234013605</v>
      </c>
      <c r="K78" s="5" t="s">
        <v>103</v>
      </c>
      <c r="L78" s="5"/>
      <c r="M78" s="5"/>
      <c r="N78" s="5"/>
    </row>
    <row r="79" spans="1:14" ht="15" customHeight="1" x14ac:dyDescent="0.2">
      <c r="A79" s="5"/>
      <c r="B79" s="5"/>
      <c r="C79" s="5"/>
      <c r="D79" s="5"/>
      <c r="E79" s="5"/>
      <c r="F79" s="5"/>
      <c r="G79" s="5"/>
      <c r="H79" s="5"/>
      <c r="I79" s="36" t="s">
        <v>104</v>
      </c>
      <c r="J79" s="9">
        <f>ROUND(SQRT(ABS(J78)*100/(I63*F63*F45*K10*(1-0.59*F63*K10/K9))),2)</f>
        <v>74.459999999999994</v>
      </c>
      <c r="K79" s="5" t="s">
        <v>32</v>
      </c>
      <c r="L79" s="5"/>
      <c r="M79" s="5"/>
      <c r="N79" s="5"/>
    </row>
    <row r="80" spans="1:14" x14ac:dyDescent="0.2">
      <c r="A80" s="5"/>
      <c r="B80" s="5"/>
      <c r="C80" s="5"/>
      <c r="D80" s="5"/>
      <c r="E80" s="5"/>
      <c r="F80" s="5"/>
      <c r="G80" s="5"/>
      <c r="H80" s="5"/>
      <c r="I80" s="36" t="s">
        <v>108</v>
      </c>
      <c r="J80" s="9">
        <f>J79+F85+VLOOKUP(F86,Parametros!E2:G6,2,FALSE)</f>
        <v>82</v>
      </c>
      <c r="K80" s="5" t="s">
        <v>32</v>
      </c>
      <c r="L80" s="22" t="s">
        <v>108</v>
      </c>
      <c r="M80" s="19">
        <v>85</v>
      </c>
      <c r="N80" s="19" t="s">
        <v>32</v>
      </c>
    </row>
    <row r="81" spans="1:14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ht="15" customHeight="1" x14ac:dyDescent="0.2">
      <c r="A84" s="5"/>
      <c r="B84" s="5"/>
      <c r="C84" s="137" t="s">
        <v>116</v>
      </c>
      <c r="D84" s="137"/>
      <c r="E84" s="137"/>
      <c r="F84" s="137"/>
      <c r="G84" s="137"/>
      <c r="H84" s="5"/>
      <c r="I84" s="5"/>
      <c r="J84" s="5"/>
      <c r="K84" s="5"/>
      <c r="L84" s="5"/>
      <c r="M84" s="5"/>
      <c r="N84" s="5"/>
    </row>
    <row r="85" spans="1:14" x14ac:dyDescent="0.2">
      <c r="A85" s="5"/>
      <c r="B85" s="5"/>
      <c r="C85" s="5" t="s">
        <v>105</v>
      </c>
      <c r="D85" s="5"/>
      <c r="E85" s="5"/>
      <c r="F85" s="9">
        <v>5</v>
      </c>
      <c r="G85" s="5" t="s">
        <v>32</v>
      </c>
      <c r="H85" s="5"/>
      <c r="I85" s="23" t="s">
        <v>104</v>
      </c>
      <c r="J85" s="24">
        <f>M80-(F85+VLOOKUP(F86,Parametros!E2:G6,2,FALSE)/2)</f>
        <v>78.73</v>
      </c>
      <c r="K85" s="25" t="s">
        <v>32</v>
      </c>
      <c r="L85" s="5" t="s">
        <v>114</v>
      </c>
      <c r="M85" s="5"/>
      <c r="N85" s="5"/>
    </row>
    <row r="86" spans="1:14" x14ac:dyDescent="0.2">
      <c r="A86" s="5"/>
      <c r="B86" s="5"/>
      <c r="C86" s="5" t="s">
        <v>106</v>
      </c>
      <c r="D86" s="5"/>
      <c r="E86" s="36" t="s">
        <v>107</v>
      </c>
      <c r="F86" s="54" t="s">
        <v>40</v>
      </c>
      <c r="G86" s="5" t="s">
        <v>114</v>
      </c>
      <c r="H86" s="5"/>
      <c r="I86" s="5"/>
      <c r="J86" s="5"/>
      <c r="K86" s="5"/>
      <c r="L86" s="5"/>
      <c r="M86" s="5"/>
      <c r="N86" s="5"/>
    </row>
    <row r="87" spans="1:14" x14ac:dyDescent="0.2">
      <c r="A87" s="5"/>
      <c r="B87" s="5"/>
      <c r="C87" s="137" t="s">
        <v>117</v>
      </c>
      <c r="D87" s="137"/>
      <c r="E87" s="137"/>
      <c r="F87" s="137"/>
      <c r="G87" s="137"/>
      <c r="H87" s="5"/>
      <c r="I87" s="5"/>
      <c r="J87" s="5"/>
      <c r="K87" s="5"/>
      <c r="L87" s="5"/>
      <c r="M87" s="5"/>
      <c r="N87" s="5"/>
    </row>
    <row r="88" spans="1:14" x14ac:dyDescent="0.2">
      <c r="A88" s="5"/>
      <c r="B88" s="5"/>
      <c r="C88" s="5" t="s">
        <v>105</v>
      </c>
      <c r="D88" s="5"/>
      <c r="E88" s="5"/>
      <c r="F88" s="9">
        <v>7.5</v>
      </c>
      <c r="G88" s="5" t="s">
        <v>32</v>
      </c>
      <c r="H88" s="5"/>
      <c r="I88" s="5"/>
      <c r="J88" s="5"/>
      <c r="K88" s="5"/>
      <c r="L88" s="5"/>
      <c r="M88" s="5"/>
      <c r="N88" s="5"/>
    </row>
    <row r="89" spans="1:14" x14ac:dyDescent="0.2">
      <c r="A89" s="5"/>
      <c r="B89" s="5"/>
      <c r="C89" s="5" t="s">
        <v>106</v>
      </c>
      <c r="D89" s="5"/>
      <c r="E89" s="36" t="s">
        <v>107</v>
      </c>
      <c r="F89" s="54" t="s">
        <v>39</v>
      </c>
      <c r="G89" s="5" t="s">
        <v>115</v>
      </c>
      <c r="H89" s="5"/>
      <c r="I89" s="23" t="s">
        <v>104</v>
      </c>
      <c r="J89" s="24">
        <f>ROUND(M80-(F88+VLOOKUP(F89,Parametros!E2:G6,2,FALSE)/2),2)</f>
        <v>76.55</v>
      </c>
      <c r="K89" s="25" t="s">
        <v>32</v>
      </c>
      <c r="L89" s="5" t="s">
        <v>115</v>
      </c>
      <c r="M89" s="5"/>
      <c r="N89" s="5"/>
    </row>
    <row r="90" spans="1:14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x14ac:dyDescent="0.2">
      <c r="A93" s="5"/>
      <c r="B93" s="5" t="s">
        <v>27</v>
      </c>
      <c r="C93" s="5" t="s">
        <v>109</v>
      </c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 x14ac:dyDescent="0.2">
      <c r="A95" s="5"/>
      <c r="B95" s="5"/>
      <c r="C95" s="14" t="s">
        <v>110</v>
      </c>
      <c r="D95" s="5"/>
      <c r="E95" s="5"/>
      <c r="F95" s="5"/>
      <c r="G95" s="5"/>
      <c r="H95" s="20" t="s">
        <v>29</v>
      </c>
      <c r="I95" s="21">
        <f>HLOOKUP(E2,Parametros!B2:C5,4,FALSE)</f>
        <v>0.75</v>
      </c>
      <c r="J95" s="5"/>
      <c r="K95" s="5"/>
      <c r="L95" s="5"/>
      <c r="M95" s="5"/>
      <c r="N95" s="5"/>
    </row>
    <row r="96" spans="1:14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14" x14ac:dyDescent="0.2">
      <c r="A106" s="5"/>
      <c r="B106" s="5"/>
      <c r="C106" s="5"/>
      <c r="D106" s="36" t="s">
        <v>111</v>
      </c>
      <c r="E106" s="9">
        <f>ROUND(C7*0.5+J85/100,3)</f>
        <v>1.0369999999999999</v>
      </c>
      <c r="F106" s="5" t="s">
        <v>8</v>
      </c>
      <c r="G106" s="5"/>
      <c r="H106" s="5"/>
      <c r="I106" s="36" t="s">
        <v>118</v>
      </c>
      <c r="J106" s="5">
        <f>ABS(D54*0.5*C7-D52+D54*E106)</f>
        <v>80161.632653061242</v>
      </c>
      <c r="K106" s="5" t="s">
        <v>7</v>
      </c>
      <c r="L106" s="5"/>
      <c r="M106" s="5"/>
      <c r="N106" s="5"/>
    </row>
    <row r="107" spans="1:14" x14ac:dyDescent="0.2">
      <c r="A107" s="5"/>
      <c r="B107" s="5"/>
      <c r="C107" s="5"/>
      <c r="D107" s="36" t="s">
        <v>112</v>
      </c>
      <c r="E107" s="9">
        <f>ROUND(F7*0.5+J85/100,3)</f>
        <v>1.1120000000000001</v>
      </c>
      <c r="F107" s="5" t="s">
        <v>8</v>
      </c>
      <c r="G107" s="5"/>
      <c r="H107" s="5"/>
      <c r="I107" s="36" t="s">
        <v>119</v>
      </c>
      <c r="J107" s="5">
        <f>ABS(D54*(C7+F11+F7*0.5)-D52-D54*E107)</f>
        <v>95100.408163265296</v>
      </c>
      <c r="K107" s="5" t="s">
        <v>7</v>
      </c>
      <c r="L107" s="5"/>
      <c r="M107" s="5"/>
      <c r="N107" s="5"/>
    </row>
    <row r="108" spans="1:14" x14ac:dyDescent="0.2">
      <c r="A108" s="5"/>
      <c r="B108" s="5"/>
      <c r="C108" s="5"/>
      <c r="D108" s="36" t="s">
        <v>113</v>
      </c>
      <c r="E108" s="9">
        <f>ROUND(0.5*F7+J89/100,3)</f>
        <v>1.091</v>
      </c>
      <c r="F108" s="5" t="s">
        <v>8</v>
      </c>
      <c r="G108" s="5"/>
      <c r="H108" s="5"/>
      <c r="I108" s="36" t="s">
        <v>120</v>
      </c>
      <c r="J108" s="5">
        <f>ABS(D54*(D44+0.5*F7-E108))</f>
        <v>22201.904761904727</v>
      </c>
      <c r="K108" s="5" t="s">
        <v>7</v>
      </c>
      <c r="L108" s="5"/>
      <c r="M108" s="5"/>
      <c r="N108" s="5"/>
    </row>
    <row r="109" spans="1:14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 x14ac:dyDescent="0.2">
      <c r="A110" s="5"/>
      <c r="B110" s="5"/>
      <c r="C110" s="5"/>
      <c r="D110" s="5"/>
      <c r="E110" s="5"/>
      <c r="F110" s="15" t="s">
        <v>30</v>
      </c>
      <c r="G110" s="26">
        <f>MAX(J106:J108)</f>
        <v>95100.408163265296</v>
      </c>
      <c r="H110" s="14" t="s">
        <v>7</v>
      </c>
      <c r="I110" s="5"/>
      <c r="J110" s="5"/>
      <c r="K110" s="5"/>
      <c r="L110" s="5"/>
      <c r="M110" s="5"/>
      <c r="N110" s="5"/>
    </row>
    <row r="111" spans="1:14" x14ac:dyDescent="0.2">
      <c r="A111" s="5"/>
      <c r="B111" s="5"/>
      <c r="C111" s="5"/>
      <c r="D111" s="5"/>
      <c r="E111" s="5"/>
      <c r="F111" s="20" t="s">
        <v>121</v>
      </c>
      <c r="G111" s="35">
        <f>G110/I95</f>
        <v>126800.54421768706</v>
      </c>
      <c r="H111" s="27" t="s">
        <v>7</v>
      </c>
      <c r="I111" s="5"/>
      <c r="J111" s="20" t="s">
        <v>122</v>
      </c>
      <c r="K111" s="27">
        <f>0.53*SQRT(K9)*F45*J85</f>
        <v>132478.80045799329</v>
      </c>
      <c r="L111" s="27" t="s">
        <v>7</v>
      </c>
      <c r="M111" s="5"/>
      <c r="N111" s="5"/>
    </row>
    <row r="112" spans="1:14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 x14ac:dyDescent="0.2">
      <c r="A113" s="5"/>
      <c r="B113" s="5"/>
      <c r="C113" s="5"/>
      <c r="D113" s="5"/>
      <c r="E113" s="5"/>
      <c r="F113" s="28" t="str">
        <f>IF(G111&lt;=K111,"Vn &lt; Vc ……….(Conforme)","Vn &gt; Vc ……….(Aumentar Peralte)")</f>
        <v>Vn &lt; Vc ……….(Conforme)</v>
      </c>
      <c r="G113" s="5"/>
      <c r="H113" s="5"/>
      <c r="I113" s="5"/>
      <c r="J113" s="5"/>
      <c r="K113" s="5"/>
      <c r="L113" s="5"/>
      <c r="M113" s="5"/>
      <c r="N113" s="5"/>
    </row>
    <row r="114" spans="1:14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x14ac:dyDescent="0.2">
      <c r="A120" s="5"/>
      <c r="B120" s="5"/>
      <c r="C120" s="14" t="s">
        <v>43</v>
      </c>
      <c r="D120" s="5"/>
      <c r="E120" s="5"/>
      <c r="F120" s="5"/>
      <c r="G120" s="5"/>
      <c r="H120" s="20" t="s">
        <v>29</v>
      </c>
      <c r="I120" s="21">
        <f>HLOOKUP(E2,Parametros!B2:C5,4,FALSE)</f>
        <v>0.75</v>
      </c>
      <c r="J120" s="5"/>
      <c r="K120" s="5"/>
      <c r="L120" s="5"/>
      <c r="M120" s="5"/>
      <c r="N120" s="5"/>
    </row>
    <row r="121" spans="1:14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4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4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1:14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1:14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1:14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1:14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1:14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spans="1:14" x14ac:dyDescent="0.2">
      <c r="A149" s="5"/>
      <c r="B149" s="5"/>
      <c r="C149" s="5"/>
      <c r="D149" s="29" t="s">
        <v>123</v>
      </c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1:14" x14ac:dyDescent="0.2">
      <c r="A150" s="5"/>
      <c r="B150" s="5"/>
      <c r="C150" s="5"/>
      <c r="D150" s="5"/>
      <c r="E150" s="5"/>
      <c r="F150" s="36" t="s">
        <v>30</v>
      </c>
      <c r="G150" s="9">
        <f>D52-I54*(C7*100+J85/2)*(C8*100+J85/2)</f>
        <v>128989.60013075</v>
      </c>
      <c r="H150" s="5" t="s">
        <v>7</v>
      </c>
      <c r="I150" s="5"/>
      <c r="J150" s="36" t="s">
        <v>121</v>
      </c>
      <c r="K150" s="5">
        <f>G150/I120</f>
        <v>171986.13350766667</v>
      </c>
      <c r="L150" s="5" t="s">
        <v>7</v>
      </c>
      <c r="M150" s="5"/>
      <c r="N150" s="5"/>
    </row>
    <row r="151" spans="1:14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1:14" x14ac:dyDescent="0.2">
      <c r="A152" s="5"/>
      <c r="B152" s="5"/>
      <c r="C152" s="5"/>
      <c r="D152" s="5"/>
      <c r="E152" s="5"/>
      <c r="F152" s="5" t="s">
        <v>124</v>
      </c>
      <c r="G152" s="9">
        <f>0.27*(2+4*MIN(C7:C8)/MAX(C7:C8))*SQRT(K9)*F45*J85</f>
        <v>404935.20139990404</v>
      </c>
      <c r="H152" s="5" t="s">
        <v>7</v>
      </c>
      <c r="I152" s="5"/>
      <c r="J152" s="5"/>
      <c r="K152" s="5"/>
      <c r="L152" s="5"/>
      <c r="M152" s="5"/>
      <c r="N152" s="5"/>
    </row>
    <row r="153" spans="1:14" x14ac:dyDescent="0.2">
      <c r="A153" s="5"/>
      <c r="B153" s="5"/>
      <c r="C153" s="5"/>
      <c r="D153" s="5"/>
      <c r="E153" s="5"/>
      <c r="F153" s="5" t="s">
        <v>125</v>
      </c>
      <c r="G153" s="9">
        <f>0.27*(2+30*J85/F45)*SQRT(K9)*F45*J85</f>
        <v>799156.49226276902</v>
      </c>
      <c r="H153" s="5" t="s">
        <v>7</v>
      </c>
      <c r="I153" s="15" t="s">
        <v>122</v>
      </c>
      <c r="J153" s="16">
        <f>ROUND(MIN(G152,G153,G154),2)</f>
        <v>264957.59999999998</v>
      </c>
      <c r="K153" s="30" t="s">
        <v>7</v>
      </c>
      <c r="L153" s="5"/>
      <c r="M153" s="5"/>
      <c r="N153" s="5"/>
    </row>
    <row r="154" spans="1:14" x14ac:dyDescent="0.2">
      <c r="A154" s="5"/>
      <c r="B154" s="5"/>
      <c r="C154" s="5"/>
      <c r="D154" s="5"/>
      <c r="E154" s="5"/>
      <c r="F154" s="5" t="s">
        <v>126</v>
      </c>
      <c r="G154" s="9">
        <f>1.06*SQRT(K9)*F45*J85</f>
        <v>264957.60091598658</v>
      </c>
      <c r="H154" s="5" t="s">
        <v>7</v>
      </c>
      <c r="I154" s="5"/>
      <c r="J154" s="5"/>
      <c r="K154" s="5"/>
      <c r="L154" s="5"/>
      <c r="M154" s="5"/>
      <c r="N154" s="5"/>
    </row>
    <row r="155" spans="1:14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1:14" x14ac:dyDescent="0.2">
      <c r="A156" s="5"/>
      <c r="B156" s="5"/>
      <c r="C156" s="5"/>
      <c r="D156" s="5"/>
      <c r="E156" s="5"/>
      <c r="F156" s="28" t="str">
        <f>IF(K150&lt;=J153,"Vn &lt; Vc ……….(Conforme)","Vn &gt; Vc ……….(Aumentar Peralte o f'c)")</f>
        <v>Vn &lt; Vc ……….(Conforme)</v>
      </c>
      <c r="G156" s="5"/>
      <c r="H156" s="5"/>
      <c r="I156" s="5"/>
      <c r="J156" s="5"/>
      <c r="K156" s="5"/>
      <c r="L156" s="5"/>
      <c r="M156" s="5"/>
      <c r="N156" s="5"/>
    </row>
    <row r="157" spans="1:14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1:14" x14ac:dyDescent="0.2">
      <c r="A158" s="5"/>
      <c r="B158" s="5"/>
      <c r="C158" s="5"/>
      <c r="D158" s="29" t="s">
        <v>127</v>
      </c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1:14" x14ac:dyDescent="0.2">
      <c r="A159" s="5"/>
      <c r="B159" s="5"/>
      <c r="C159" s="5"/>
      <c r="D159" s="5"/>
      <c r="E159" s="5"/>
      <c r="F159" s="36" t="s">
        <v>30</v>
      </c>
      <c r="G159" s="5">
        <f>D53-I54*(F7*100+MAX(J85,J89))*(F8*100+MAX(J85,J89))</f>
        <v>185997.793523</v>
      </c>
      <c r="H159" s="5" t="s">
        <v>7</v>
      </c>
      <c r="I159" s="5"/>
      <c r="J159" s="36" t="s">
        <v>121</v>
      </c>
      <c r="K159" s="5">
        <f>G159/I120</f>
        <v>247997.05803066667</v>
      </c>
      <c r="L159" s="5" t="s">
        <v>7</v>
      </c>
      <c r="M159" s="5"/>
      <c r="N159" s="5"/>
    </row>
    <row r="160" spans="1:14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1:14" x14ac:dyDescent="0.2">
      <c r="A161" s="5"/>
      <c r="B161" s="5"/>
      <c r="C161" s="5"/>
      <c r="D161" s="5"/>
      <c r="E161" s="5"/>
      <c r="F161" s="5" t="s">
        <v>124</v>
      </c>
      <c r="G161" s="5">
        <f>0.27*(2+4*MIN(F7:F8)/MAX(F7:F8))*SQRT(K9)*F45*MAX(J85,J89)</f>
        <v>404935.20139990404</v>
      </c>
      <c r="H161" s="5" t="s">
        <v>7</v>
      </c>
      <c r="I161" s="5"/>
      <c r="J161" s="5"/>
      <c r="K161" s="5"/>
      <c r="L161" s="5"/>
      <c r="M161" s="5"/>
      <c r="N161" s="5"/>
    </row>
    <row r="162" spans="1:14" x14ac:dyDescent="0.2">
      <c r="A162" s="5"/>
      <c r="B162" s="5"/>
      <c r="C162" s="5"/>
      <c r="D162" s="5"/>
      <c r="E162" s="5"/>
      <c r="F162" s="5" t="s">
        <v>125</v>
      </c>
      <c r="G162" s="5">
        <f>0.27*(2+40*MAX(J85,J89)/F45)*SQRT(K9)*F45*MAX(J85,J89)</f>
        <v>1020549.1895281471</v>
      </c>
      <c r="H162" s="5" t="s">
        <v>7</v>
      </c>
      <c r="I162" s="15" t="s">
        <v>122</v>
      </c>
      <c r="J162" s="16">
        <f>ROUND(MIN(G161,G162,G163),2)</f>
        <v>264957.59999999998</v>
      </c>
      <c r="K162" s="30" t="s">
        <v>7</v>
      </c>
      <c r="L162" s="5"/>
      <c r="M162" s="5"/>
      <c r="N162" s="5"/>
    </row>
    <row r="163" spans="1:14" x14ac:dyDescent="0.2">
      <c r="A163" s="5"/>
      <c r="B163" s="5"/>
      <c r="C163" s="5"/>
      <c r="D163" s="5"/>
      <c r="E163" s="5"/>
      <c r="F163" s="5" t="s">
        <v>126</v>
      </c>
      <c r="G163" s="5">
        <f>1.06*SQRT(K9)*F45*MAX(J85,J89)</f>
        <v>264957.60091598658</v>
      </c>
      <c r="H163" s="5" t="s">
        <v>7</v>
      </c>
      <c r="I163" s="5"/>
      <c r="J163" s="5"/>
      <c r="K163" s="5"/>
      <c r="L163" s="5"/>
      <c r="M163" s="5"/>
      <c r="N163" s="5"/>
    </row>
    <row r="164" spans="1:14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 x14ac:dyDescent="0.2">
      <c r="A165" s="5"/>
      <c r="B165" s="5"/>
      <c r="C165" s="5"/>
      <c r="D165" s="5"/>
      <c r="E165" s="5"/>
      <c r="F165" s="28" t="str">
        <f>IF(K159&lt;=J162,"Vn &lt; Vc ……….(Conforme)","Vn &gt; Vc ……….(Aumentar Peralte o f'c)")</f>
        <v>Vn &lt; Vc ……….(Conforme)</v>
      </c>
      <c r="G165" s="5"/>
      <c r="H165" s="5"/>
      <c r="I165" s="5"/>
      <c r="J165" s="5"/>
      <c r="K165" s="5"/>
      <c r="L165" s="5"/>
      <c r="M165" s="5"/>
      <c r="N165" s="5"/>
    </row>
    <row r="166" spans="1:14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1:14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1:14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1:14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pans="1:14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1:14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1:14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spans="1:14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spans="1:14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 spans="1:14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</row>
    <row r="177" spans="1:15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</row>
    <row r="178" spans="1:15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</row>
    <row r="179" spans="1:15" x14ac:dyDescent="0.2">
      <c r="A179" s="5"/>
      <c r="B179" s="5" t="s">
        <v>45</v>
      </c>
      <c r="C179" s="5" t="s">
        <v>46</v>
      </c>
      <c r="D179" s="5"/>
      <c r="E179" s="5"/>
      <c r="F179" s="5"/>
      <c r="G179" s="5"/>
      <c r="H179" s="20" t="s">
        <v>29</v>
      </c>
      <c r="I179" s="21">
        <f>HLOOKUP(E2,Parametros!B2:C5,2,FALSE)</f>
        <v>0.9</v>
      </c>
      <c r="J179" s="5"/>
      <c r="K179" s="5"/>
      <c r="L179" s="5"/>
      <c r="M179" s="5"/>
      <c r="N179" s="5"/>
    </row>
    <row r="180" spans="1:15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</row>
    <row r="181" spans="1:15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</row>
    <row r="182" spans="1:15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</row>
    <row r="183" spans="1:15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</row>
    <row r="184" spans="1:15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</row>
    <row r="185" spans="1:15" x14ac:dyDescent="0.2">
      <c r="A185" s="5"/>
      <c r="B185" s="5"/>
      <c r="C185" s="14" t="s">
        <v>128</v>
      </c>
      <c r="D185" s="5"/>
      <c r="E185" s="5"/>
      <c r="F185" s="36" t="s">
        <v>48</v>
      </c>
      <c r="G185" s="9">
        <f>ABS(J78)</f>
        <v>171841.2234013605</v>
      </c>
      <c r="H185" s="5" t="s">
        <v>103</v>
      </c>
      <c r="I185" s="5"/>
      <c r="J185" s="36" t="s">
        <v>52</v>
      </c>
      <c r="K185" s="9">
        <f>ROUND(MAX(G187:G188)*F45*J85,2)</f>
        <v>60.48</v>
      </c>
      <c r="L185" s="5" t="s">
        <v>19</v>
      </c>
      <c r="M185" s="5"/>
      <c r="N185" s="5"/>
      <c r="O185" s="5"/>
    </row>
    <row r="186" spans="1:15" x14ac:dyDescent="0.2">
      <c r="A186" s="5"/>
      <c r="B186" s="5"/>
      <c r="C186" s="5"/>
      <c r="D186" s="5"/>
      <c r="E186" s="5"/>
      <c r="F186" s="36" t="s">
        <v>49</v>
      </c>
      <c r="G186" s="9">
        <f>ROUND(G185*100/(F45*J85^2),2)</f>
        <v>11.55</v>
      </c>
      <c r="H186" s="5" t="s">
        <v>11</v>
      </c>
      <c r="I186" s="5"/>
      <c r="J186" s="36" t="s">
        <v>53</v>
      </c>
      <c r="K186" s="9">
        <f>VLOOKUP(F86,Parametros!E2:G6,3,FALSE)</f>
        <v>5.07</v>
      </c>
      <c r="L186" s="5" t="s">
        <v>19</v>
      </c>
      <c r="M186" s="5"/>
      <c r="N186" s="5"/>
      <c r="O186" s="5"/>
    </row>
    <row r="187" spans="1:15" x14ac:dyDescent="0.2">
      <c r="A187" s="5"/>
      <c r="B187" s="5"/>
      <c r="C187" s="5"/>
      <c r="D187" s="5"/>
      <c r="E187" s="5"/>
      <c r="F187" s="36" t="s">
        <v>50</v>
      </c>
      <c r="G187" s="9">
        <f>(100*I179*K9*K10-SQRT((100*I179*K9*K10)^2-23600*G186*I179*K9*K10^2))/(118*I179*K10^2)</f>
        <v>3.2006091658566883E-3</v>
      </c>
      <c r="H187" s="5"/>
      <c r="I187" s="5"/>
      <c r="J187" s="36" t="s">
        <v>54</v>
      </c>
      <c r="K187" s="9">
        <f>ROUND(K185/K186,2)</f>
        <v>11.93</v>
      </c>
      <c r="L187" s="5"/>
      <c r="M187" s="31">
        <v>14</v>
      </c>
      <c r="N187" s="5" t="s">
        <v>129</v>
      </c>
    </row>
    <row r="188" spans="1:15" x14ac:dyDescent="0.2">
      <c r="A188" s="5"/>
      <c r="B188" s="5"/>
      <c r="C188" s="5"/>
      <c r="D188" s="5"/>
      <c r="E188" s="5"/>
      <c r="F188" s="36" t="s">
        <v>51</v>
      </c>
      <c r="G188" s="9">
        <v>1.8E-3</v>
      </c>
      <c r="H188" s="5"/>
      <c r="I188" s="5"/>
      <c r="J188" s="36" t="s">
        <v>56</v>
      </c>
      <c r="K188" s="9">
        <f>ROUND((F45-MAX(F85,F88)-VLOOKUP(F86,Parametros!E2:G6,2,FALSE))/(M187-1),1)</f>
        <v>17.7</v>
      </c>
      <c r="L188" s="5"/>
      <c r="M188" s="5"/>
      <c r="N188" s="5"/>
      <c r="O188" s="5"/>
    </row>
    <row r="189" spans="1:15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 spans="1:15" x14ac:dyDescent="0.2">
      <c r="A190" s="5"/>
      <c r="B190" s="5"/>
      <c r="C190" s="5"/>
      <c r="D190" s="5"/>
      <c r="E190" s="5"/>
      <c r="F190" s="5"/>
      <c r="G190" s="135" t="str">
        <f>CONCATENATE("Usar ",M187," φ ",F86," @ ",K188," cm")</f>
        <v>Usar 14 φ 1" @ 17.7 cm</v>
      </c>
      <c r="H190" s="135"/>
      <c r="I190" s="135"/>
      <c r="J190" s="135"/>
      <c r="K190" s="5"/>
      <c r="L190" s="5"/>
      <c r="M190" s="5"/>
      <c r="N190" s="5"/>
    </row>
    <row r="191" spans="1:15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 spans="1:15" x14ac:dyDescent="0.2">
      <c r="A192" s="5"/>
      <c r="B192" s="5"/>
      <c r="C192" s="14" t="s">
        <v>130</v>
      </c>
      <c r="D192" s="5"/>
      <c r="E192" s="5"/>
      <c r="F192" s="36" t="s">
        <v>48</v>
      </c>
      <c r="G192" s="9">
        <f>D54*0.5*(D44)^2</f>
        <v>36832.653061224453</v>
      </c>
      <c r="H192" s="5" t="s">
        <v>103</v>
      </c>
      <c r="I192" s="5"/>
      <c r="J192" s="36" t="s">
        <v>52</v>
      </c>
      <c r="K192" s="9">
        <f>ROUND(MAX(G194:G195)*F45*J89,2)</f>
        <v>33.07</v>
      </c>
      <c r="L192" s="5" t="s">
        <v>19</v>
      </c>
      <c r="M192" s="5"/>
      <c r="N192" s="5"/>
      <c r="O192" s="5"/>
    </row>
    <row r="193" spans="1:15" x14ac:dyDescent="0.2">
      <c r="A193" s="5"/>
      <c r="B193" s="5"/>
      <c r="C193" s="5"/>
      <c r="D193" s="5"/>
      <c r="E193" s="5"/>
      <c r="F193" s="36" t="s">
        <v>49</v>
      </c>
      <c r="G193" s="9">
        <f>ROUND(G192*100/(F45*J89^2),2)</f>
        <v>2.62</v>
      </c>
      <c r="H193" s="5" t="s">
        <v>11</v>
      </c>
      <c r="I193" s="5"/>
      <c r="J193" s="36" t="s">
        <v>53</v>
      </c>
      <c r="K193" s="9">
        <f>VLOOKUP(F89,Parametros!E2:G6,3,FALSE)</f>
        <v>2.85</v>
      </c>
      <c r="L193" s="5" t="s">
        <v>19</v>
      </c>
      <c r="M193" s="5"/>
      <c r="N193" s="5"/>
      <c r="O193" s="5"/>
    </row>
    <row r="194" spans="1:15" x14ac:dyDescent="0.2">
      <c r="A194" s="5"/>
      <c r="B194" s="5"/>
      <c r="C194" s="5"/>
      <c r="D194" s="5"/>
      <c r="E194" s="5"/>
      <c r="F194" s="36" t="s">
        <v>50</v>
      </c>
      <c r="G194" s="9">
        <f>(100*I179*K9*K10-SQRT((100*I179*K9*K10)^2-23600*I179*G193*K9*K10^2))/(118*I179*K10^2)</f>
        <v>7.0006130855572435E-4</v>
      </c>
      <c r="H194" s="5"/>
      <c r="I194" s="5"/>
      <c r="J194" s="36" t="s">
        <v>54</v>
      </c>
      <c r="K194" s="9">
        <f>ROUND(K192/K193,2)</f>
        <v>11.6</v>
      </c>
      <c r="L194" s="5"/>
      <c r="M194" s="31">
        <v>13</v>
      </c>
      <c r="N194" s="5" t="s">
        <v>129</v>
      </c>
    </row>
    <row r="195" spans="1:15" x14ac:dyDescent="0.2">
      <c r="A195" s="5"/>
      <c r="B195" s="5"/>
      <c r="C195" s="5"/>
      <c r="D195" s="5"/>
      <c r="E195" s="5"/>
      <c r="F195" s="36" t="s">
        <v>51</v>
      </c>
      <c r="G195" s="9">
        <v>1.8E-3</v>
      </c>
      <c r="H195" s="5"/>
      <c r="I195" s="5"/>
      <c r="J195" s="36" t="s">
        <v>56</v>
      </c>
      <c r="K195" s="9">
        <f>ROUND((F45-MAX(F85,F88)-VLOOKUP(F86,Parametros!E2:G6,2,FALSE))/(M194-1),1)</f>
        <v>19.2</v>
      </c>
      <c r="L195" s="5"/>
      <c r="M195" s="5"/>
      <c r="N195" s="5"/>
      <c r="O195" s="5"/>
    </row>
    <row r="196" spans="1:15" x14ac:dyDescent="0.2">
      <c r="A196" s="5"/>
      <c r="B196" s="5"/>
      <c r="C196" s="5"/>
      <c r="D196" s="5"/>
      <c r="E196" s="5"/>
      <c r="F196" s="5"/>
      <c r="G196" s="135" t="str">
        <f>CONCATENATE("Usar ",M194," φ ",F89," @ ",K195," cm")</f>
        <v>Usar 13 φ 3/4" @ 19.2 cm</v>
      </c>
      <c r="H196" s="135"/>
      <c r="I196" s="135"/>
      <c r="J196" s="135"/>
      <c r="K196" s="5"/>
      <c r="L196" s="5"/>
      <c r="M196" s="5"/>
      <c r="N196" s="5"/>
    </row>
    <row r="197" spans="1:15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spans="1:15" x14ac:dyDescent="0.2">
      <c r="A198" s="5"/>
      <c r="B198" s="5" t="s">
        <v>60</v>
      </c>
      <c r="C198" s="5" t="s">
        <v>131</v>
      </c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</row>
    <row r="199" spans="1:15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 spans="1:15" x14ac:dyDescent="0.2">
      <c r="A200" s="5"/>
      <c r="B200" s="5"/>
      <c r="C200" s="36" t="s">
        <v>132</v>
      </c>
      <c r="D200" s="9">
        <f>ROUND(C7*100+J85/2,2)</f>
        <v>89.37</v>
      </c>
      <c r="E200" s="5" t="s">
        <v>32</v>
      </c>
      <c r="F200" s="5"/>
      <c r="G200" s="38">
        <v>92</v>
      </c>
      <c r="H200" s="38" t="s">
        <v>32</v>
      </c>
      <c r="I200" s="5"/>
      <c r="J200" s="5"/>
      <c r="K200" s="5"/>
      <c r="L200" s="5"/>
      <c r="M200" s="5"/>
      <c r="N200" s="5"/>
    </row>
    <row r="201" spans="1:15" x14ac:dyDescent="0.2">
      <c r="A201" s="5"/>
      <c r="B201" s="5"/>
      <c r="C201" s="36" t="s">
        <v>133</v>
      </c>
      <c r="D201" s="9">
        <f>ROUND(F7*100+MAX(J85,J89),2)</f>
        <v>143.72999999999999</v>
      </c>
      <c r="E201" s="5" t="s">
        <v>32</v>
      </c>
      <c r="F201" s="5"/>
      <c r="G201" s="38">
        <v>150</v>
      </c>
      <c r="H201" s="38" t="s">
        <v>32</v>
      </c>
      <c r="I201" s="5"/>
      <c r="J201" s="5"/>
      <c r="K201" s="5"/>
      <c r="L201" s="5"/>
      <c r="M201" s="5"/>
      <c r="N201" s="5"/>
    </row>
    <row r="202" spans="1:15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 spans="1:15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</row>
    <row r="204" spans="1:15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spans="1:15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spans="1:15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1:15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 spans="1:15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</row>
    <row r="209" spans="1:15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pans="1:15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</row>
    <row r="211" spans="1:15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</row>
    <row r="212" spans="1:15" x14ac:dyDescent="0.2">
      <c r="A212" s="5"/>
      <c r="B212" s="5"/>
      <c r="C212" s="14" t="s">
        <v>134</v>
      </c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</row>
    <row r="213" spans="1:15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</row>
    <row r="214" spans="1:15" x14ac:dyDescent="0.2">
      <c r="A214" s="5"/>
      <c r="B214" s="5"/>
      <c r="C214" s="5"/>
      <c r="D214" s="36" t="s">
        <v>135</v>
      </c>
      <c r="E214" s="9">
        <f>D52*100/F45</f>
        <v>60833.333333333336</v>
      </c>
      <c r="F214" s="5" t="s">
        <v>97</v>
      </c>
      <c r="G214" s="5"/>
      <c r="H214" s="5"/>
      <c r="I214" s="5" t="s">
        <v>136</v>
      </c>
      <c r="J214" s="5"/>
      <c r="K214" s="5" t="s">
        <v>39</v>
      </c>
      <c r="L214" s="5"/>
      <c r="M214" s="5"/>
      <c r="N214" s="5"/>
    </row>
    <row r="215" spans="1:15" x14ac:dyDescent="0.2">
      <c r="A215" s="5"/>
      <c r="B215" s="5"/>
      <c r="C215" s="5"/>
      <c r="D215" s="36" t="s">
        <v>48</v>
      </c>
      <c r="E215" s="5">
        <f>0.5*E214*(0.5*(F45/100-C8))^2</f>
        <v>27451.041666666668</v>
      </c>
      <c r="F215" s="5" t="s">
        <v>103</v>
      </c>
      <c r="G215" s="5"/>
      <c r="H215" s="5"/>
      <c r="I215" s="5"/>
      <c r="J215" s="36" t="s">
        <v>53</v>
      </c>
      <c r="K215" s="9">
        <f>VLOOKUP(K214,Parametros!E2:G6,3,FALSE)</f>
        <v>2.85</v>
      </c>
      <c r="L215" s="5" t="s">
        <v>19</v>
      </c>
      <c r="M215" s="5"/>
      <c r="N215" s="5"/>
    </row>
    <row r="216" spans="1:15" x14ac:dyDescent="0.2">
      <c r="A216" s="5"/>
      <c r="B216" s="5"/>
      <c r="C216" s="5"/>
      <c r="D216" s="36" t="s">
        <v>49</v>
      </c>
      <c r="E216" s="9">
        <f>ROUND(E215*100/(G200*J85^2),2)</f>
        <v>4.8099999999999996</v>
      </c>
      <c r="F216" s="5" t="s">
        <v>11</v>
      </c>
      <c r="G216" s="5"/>
      <c r="H216" s="5"/>
      <c r="I216" s="5"/>
      <c r="J216" s="36" t="s">
        <v>54</v>
      </c>
      <c r="K216" s="9">
        <f>ROUND(E219/K215,2)</f>
        <v>4.58</v>
      </c>
      <c r="L216" s="5"/>
      <c r="M216" s="31">
        <v>5</v>
      </c>
      <c r="N216" s="5" t="s">
        <v>129</v>
      </c>
    </row>
    <row r="217" spans="1:15" x14ac:dyDescent="0.2">
      <c r="A217" s="5"/>
      <c r="B217" s="5"/>
      <c r="C217" s="5"/>
      <c r="D217" s="36" t="s">
        <v>50</v>
      </c>
      <c r="E217" s="9">
        <f>(100*I179*K9*K10-SQRT((100*I179*K9*K10)^2-23600*I179*E216*K9*K10^2))/(118*I179*K10^2)</f>
        <v>1.2962804286547119E-3</v>
      </c>
      <c r="F217" s="5"/>
      <c r="G217" s="5"/>
      <c r="H217" s="5"/>
      <c r="I217" s="5"/>
      <c r="J217" s="36" t="s">
        <v>56</v>
      </c>
      <c r="K217" s="9">
        <f>ROUND((G200-(2*MAX(F85,F88)+VLOOKUP(K214,Parametros!E2:G6,2,FALSE)))/(M216-1),1)</f>
        <v>18.8</v>
      </c>
      <c r="L217" s="5" t="s">
        <v>32</v>
      </c>
      <c r="M217" s="5"/>
      <c r="N217" s="5"/>
    </row>
    <row r="218" spans="1:15" x14ac:dyDescent="0.2">
      <c r="A218" s="5"/>
      <c r="B218" s="5"/>
      <c r="C218" s="5"/>
      <c r="D218" s="36" t="s">
        <v>51</v>
      </c>
      <c r="E218" s="9">
        <v>1.8E-3</v>
      </c>
      <c r="F218" s="5"/>
      <c r="G218" s="5"/>
      <c r="H218" s="5"/>
      <c r="I218" s="5"/>
      <c r="J218" s="5"/>
      <c r="K218" s="5"/>
      <c r="L218" s="5"/>
      <c r="M218" s="5"/>
      <c r="N218" s="5"/>
    </row>
    <row r="219" spans="1:15" x14ac:dyDescent="0.2">
      <c r="A219" s="5"/>
      <c r="B219" s="5"/>
      <c r="C219" s="5"/>
      <c r="D219" s="36" t="s">
        <v>52</v>
      </c>
      <c r="E219" s="9">
        <f>ROUND(MAX(E217,E218)*G200*J85,2)</f>
        <v>13.04</v>
      </c>
      <c r="F219" s="5" t="s">
        <v>19</v>
      </c>
      <c r="G219" s="5"/>
      <c r="H219" s="5"/>
      <c r="I219" s="135" t="str">
        <f>CONCATENATE("Usar ",M216," φ ",K214," @ ",K217," cm")</f>
        <v>Usar 5 φ 3/4" @ 18.8 cm</v>
      </c>
      <c r="J219" s="135"/>
      <c r="K219" s="135"/>
      <c r="L219" s="5"/>
      <c r="M219" s="5"/>
      <c r="N219" s="5"/>
    </row>
    <row r="220" spans="1:15" x14ac:dyDescent="0.2">
      <c r="A220" s="5"/>
      <c r="B220" s="5"/>
      <c r="C220" s="5"/>
      <c r="D220" s="5"/>
      <c r="E220" s="9"/>
      <c r="F220" s="5"/>
      <c r="G220" s="5"/>
      <c r="H220" s="5"/>
      <c r="I220" s="5"/>
      <c r="J220" s="5"/>
      <c r="K220" s="5"/>
      <c r="L220" s="5"/>
      <c r="M220" s="5"/>
      <c r="N220" s="5"/>
      <c r="O220" s="5"/>
    </row>
    <row r="221" spans="1:15" x14ac:dyDescent="0.2">
      <c r="A221" s="5"/>
      <c r="B221" s="5"/>
      <c r="C221" s="5"/>
      <c r="D221" s="14" t="s">
        <v>138</v>
      </c>
      <c r="E221" s="9"/>
      <c r="F221" s="5"/>
      <c r="G221" s="5"/>
      <c r="H221" s="5"/>
      <c r="I221" s="5"/>
      <c r="J221" s="5"/>
      <c r="K221" s="5"/>
      <c r="L221" s="5"/>
      <c r="M221" s="5"/>
      <c r="N221" s="5"/>
    </row>
    <row r="222" spans="1:15" x14ac:dyDescent="0.2">
      <c r="A222" s="5"/>
      <c r="B222" s="5"/>
      <c r="C222" s="5"/>
      <c r="D222" s="5"/>
      <c r="E222" s="9"/>
      <c r="F222" s="5"/>
      <c r="G222" s="36" t="s">
        <v>139</v>
      </c>
      <c r="H222" s="9">
        <f>36*VLOOKUP(K214,Parametros!E2:G6,2,FALSE)</f>
        <v>68.58</v>
      </c>
      <c r="I222" s="5" t="s">
        <v>32</v>
      </c>
      <c r="J222" s="5"/>
      <c r="K222" s="5"/>
      <c r="L222" s="5"/>
      <c r="M222" s="5"/>
      <c r="N222" s="5"/>
    </row>
    <row r="223" spans="1:15" x14ac:dyDescent="0.2">
      <c r="A223" s="5"/>
      <c r="B223" s="5"/>
      <c r="C223" s="5"/>
      <c r="D223" s="5"/>
      <c r="E223" s="5"/>
      <c r="F223" s="5"/>
      <c r="G223" s="36" t="s">
        <v>54</v>
      </c>
      <c r="H223" s="31">
        <v>5</v>
      </c>
      <c r="I223" s="5" t="s">
        <v>55</v>
      </c>
      <c r="J223" s="135" t="str">
        <f>CONCATENATE("Usar ",H223," φ ","3/8¨¨ @ ",H224," cm")</f>
        <v>Usar 5 φ 3/8¨¨ @ 55 cm</v>
      </c>
      <c r="K223" s="135"/>
      <c r="L223" s="135"/>
      <c r="M223" s="5"/>
      <c r="N223" s="5"/>
    </row>
    <row r="224" spans="1:15" x14ac:dyDescent="0.2">
      <c r="A224" s="5"/>
      <c r="B224" s="5"/>
      <c r="C224" s="5"/>
      <c r="D224" s="5"/>
      <c r="E224" s="5"/>
      <c r="F224" s="5"/>
      <c r="G224" s="36" t="s">
        <v>56</v>
      </c>
      <c r="H224" s="5">
        <f>ROUND((F45-20)/(H223-1),1)</f>
        <v>55</v>
      </c>
      <c r="I224" s="5" t="s">
        <v>32</v>
      </c>
      <c r="J224" s="5"/>
      <c r="K224" s="5"/>
      <c r="L224" s="5"/>
      <c r="M224" s="5"/>
      <c r="N224" s="5"/>
    </row>
    <row r="225" spans="1:14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x14ac:dyDescent="0.2">
      <c r="A226" s="5"/>
      <c r="B226" s="5"/>
      <c r="C226" s="14" t="s">
        <v>137</v>
      </c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</row>
    <row r="227" spans="1:14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</row>
    <row r="228" spans="1:14" x14ac:dyDescent="0.2">
      <c r="A228" s="5"/>
      <c r="B228" s="5"/>
      <c r="C228" s="5"/>
      <c r="D228" s="36" t="s">
        <v>135</v>
      </c>
      <c r="E228" s="9">
        <f>D53*100/F45</f>
        <v>95833.333333333328</v>
      </c>
      <c r="F228" s="5" t="s">
        <v>97</v>
      </c>
      <c r="G228" s="5"/>
      <c r="H228" s="5"/>
      <c r="I228" s="5" t="s">
        <v>136</v>
      </c>
      <c r="J228" s="5"/>
      <c r="K228" s="5" t="s">
        <v>37</v>
      </c>
      <c r="L228" s="5"/>
      <c r="M228" s="5"/>
      <c r="N228" s="5"/>
    </row>
    <row r="229" spans="1:14" x14ac:dyDescent="0.2">
      <c r="A229" s="5"/>
      <c r="B229" s="5"/>
      <c r="C229" s="5"/>
      <c r="D229" s="36" t="s">
        <v>48</v>
      </c>
      <c r="E229" s="9">
        <f>0.5*E228*(0.5*(F45/100-F8))^2</f>
        <v>36686.197916666664</v>
      </c>
      <c r="F229" s="5" t="s">
        <v>103</v>
      </c>
      <c r="G229" s="5"/>
      <c r="H229" s="5"/>
      <c r="I229" s="5"/>
      <c r="J229" s="36" t="s">
        <v>53</v>
      </c>
      <c r="K229" s="9">
        <f>VLOOKUP(K228,Parametros!E2:G6,3,FALSE)</f>
        <v>1.27</v>
      </c>
      <c r="L229" s="5" t="s">
        <v>19</v>
      </c>
      <c r="M229" s="5"/>
      <c r="N229" s="5"/>
    </row>
    <row r="230" spans="1:14" x14ac:dyDescent="0.2">
      <c r="A230" s="5"/>
      <c r="B230" s="5"/>
      <c r="C230" s="5"/>
      <c r="D230" s="36" t="s">
        <v>49</v>
      </c>
      <c r="E230" s="9">
        <f>ROUND(E229*100/(G201*MAX(J85,J89)^2),2)</f>
        <v>3.95</v>
      </c>
      <c r="F230" s="5" t="s">
        <v>11</v>
      </c>
      <c r="G230" s="5"/>
      <c r="H230" s="5"/>
      <c r="I230" s="5"/>
      <c r="J230" s="36" t="s">
        <v>54</v>
      </c>
      <c r="K230" s="9">
        <f>ROUND(E233/K229,2)</f>
        <v>16.739999999999998</v>
      </c>
      <c r="L230" s="5"/>
      <c r="M230" s="31">
        <v>18</v>
      </c>
      <c r="N230" s="5" t="s">
        <v>129</v>
      </c>
    </row>
    <row r="231" spans="1:14" x14ac:dyDescent="0.2">
      <c r="A231" s="5"/>
      <c r="B231" s="5"/>
      <c r="C231" s="5"/>
      <c r="D231" s="36" t="s">
        <v>50</v>
      </c>
      <c r="E231" s="9">
        <f>(100*I179*K9*K10-SQRT((100*I179*K9*K10)^2-23600*I179*E230*K9*K10^2))/(118*I179*K10^2)</f>
        <v>1.0609110827011841E-3</v>
      </c>
      <c r="F231" s="5"/>
      <c r="G231" s="5"/>
      <c r="H231" s="5"/>
      <c r="I231" s="5"/>
      <c r="J231" s="36" t="s">
        <v>56</v>
      </c>
      <c r="K231" s="9">
        <f>ROUND((G201-(2*MAX(F85,F88)+VLOOKUP(K228,Parametros!E2:G6,2,FALSE)))/(M230-1),1)</f>
        <v>7.9</v>
      </c>
      <c r="L231" s="5" t="s">
        <v>32</v>
      </c>
      <c r="M231" s="5"/>
      <c r="N231" s="5"/>
    </row>
    <row r="232" spans="1:14" x14ac:dyDescent="0.2">
      <c r="A232" s="5"/>
      <c r="B232" s="5"/>
      <c r="C232" s="5"/>
      <c r="D232" s="36" t="s">
        <v>51</v>
      </c>
      <c r="E232" s="9">
        <v>1.8E-3</v>
      </c>
      <c r="F232" s="5"/>
      <c r="G232" s="5"/>
      <c r="H232" s="5"/>
      <c r="I232" s="5"/>
      <c r="J232" s="5"/>
      <c r="K232" s="5"/>
      <c r="L232" s="5"/>
      <c r="M232" s="5"/>
      <c r="N232" s="5"/>
    </row>
    <row r="233" spans="1:14" x14ac:dyDescent="0.2">
      <c r="A233" s="5"/>
      <c r="B233" s="5"/>
      <c r="C233" s="5"/>
      <c r="D233" s="36" t="s">
        <v>52</v>
      </c>
      <c r="E233" s="9">
        <f>ROUND(MAX(E231:E232)*G201*MAX(J85,J89),2)</f>
        <v>21.26</v>
      </c>
      <c r="F233" s="5" t="s">
        <v>19</v>
      </c>
      <c r="G233" s="5"/>
      <c r="H233" s="5"/>
      <c r="I233" s="135" t="str">
        <f>CONCATENATE("Usar ",M230," φ ",K228," @ ",K231," cm")</f>
        <v>Usar 18 φ 1/2" @ 7.9 cm</v>
      </c>
      <c r="J233" s="135"/>
      <c r="K233" s="135"/>
      <c r="L233" s="5"/>
      <c r="M233" s="5"/>
      <c r="N233" s="5"/>
    </row>
    <row r="234" spans="1:14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</row>
    <row r="235" spans="1:14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</row>
    <row r="236" spans="1:14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</row>
    <row r="237" spans="1:14" x14ac:dyDescent="0.2"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</row>
    <row r="238" spans="1:14" x14ac:dyDescent="0.2"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</row>
    <row r="239" spans="1:14" x14ac:dyDescent="0.2"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</row>
    <row r="240" spans="1:14" x14ac:dyDescent="0.2"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</row>
    <row r="241" spans="2:14" x14ac:dyDescent="0.2"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</row>
    <row r="242" spans="2:14" x14ac:dyDescent="0.2"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</row>
    <row r="243" spans="2:14" x14ac:dyDescent="0.2"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</row>
    <row r="244" spans="2:14" x14ac:dyDescent="0.2"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</row>
    <row r="245" spans="2:14" x14ac:dyDescent="0.2"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</row>
    <row r="246" spans="2:14" x14ac:dyDescent="0.2"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</row>
    <row r="247" spans="2:14" x14ac:dyDescent="0.2"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</row>
    <row r="248" spans="2:14" x14ac:dyDescent="0.2"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</row>
    <row r="249" spans="2:14" x14ac:dyDescent="0.2"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</row>
    <row r="250" spans="2:14" x14ac:dyDescent="0.2"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</row>
    <row r="251" spans="2:14" x14ac:dyDescent="0.2"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</row>
    <row r="252" spans="2:14" x14ac:dyDescent="0.2"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</row>
    <row r="253" spans="2:14" x14ac:dyDescent="0.2"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</row>
    <row r="254" spans="2:14" x14ac:dyDescent="0.2"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</row>
    <row r="255" spans="2:14" x14ac:dyDescent="0.2"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</row>
    <row r="256" spans="2:14" x14ac:dyDescent="0.2"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</row>
    <row r="257" spans="2:14" x14ac:dyDescent="0.2"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</row>
    <row r="258" spans="2:14" x14ac:dyDescent="0.2"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</row>
    <row r="259" spans="2:14" x14ac:dyDescent="0.2"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</row>
    <row r="260" spans="2:14" x14ac:dyDescent="0.2"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</row>
    <row r="261" spans="2:14" x14ac:dyDescent="0.2"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</row>
    <row r="262" spans="2:14" x14ac:dyDescent="0.2"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</row>
    <row r="263" spans="2:14" x14ac:dyDescent="0.2"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</row>
    <row r="264" spans="2:14" x14ac:dyDescent="0.2"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</row>
    <row r="265" spans="2:14" x14ac:dyDescent="0.2"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</row>
    <row r="266" spans="2:14" x14ac:dyDescent="0.2"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</row>
    <row r="267" spans="2:14" x14ac:dyDescent="0.2"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</row>
    <row r="268" spans="2:14" x14ac:dyDescent="0.2"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</row>
    <row r="269" spans="2:14" x14ac:dyDescent="0.2"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</row>
    <row r="270" spans="2:14" x14ac:dyDescent="0.2"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</row>
    <row r="271" spans="2:14" x14ac:dyDescent="0.2"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</row>
    <row r="272" spans="2:14" x14ac:dyDescent="0.2"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</row>
    <row r="273" spans="2:14" x14ac:dyDescent="0.2"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</row>
    <row r="274" spans="2:14" x14ac:dyDescent="0.2"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</row>
    <row r="275" spans="2:14" x14ac:dyDescent="0.2"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</row>
    <row r="276" spans="2:14" x14ac:dyDescent="0.2"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</row>
    <row r="277" spans="2:14" x14ac:dyDescent="0.2"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</row>
    <row r="278" spans="2:14" x14ac:dyDescent="0.2"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</row>
    <row r="279" spans="2:14" x14ac:dyDescent="0.2"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</row>
    <row r="280" spans="2:14" x14ac:dyDescent="0.2"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</row>
    <row r="281" spans="2:14" x14ac:dyDescent="0.2"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</row>
    <row r="282" spans="2:14" x14ac:dyDescent="0.2"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</row>
    <row r="283" spans="2:14" x14ac:dyDescent="0.2"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</row>
    <row r="284" spans="2:14" x14ac:dyDescent="0.2"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</row>
    <row r="285" spans="2:14" x14ac:dyDescent="0.2"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</row>
    <row r="286" spans="2:14" x14ac:dyDescent="0.2"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</row>
    <row r="287" spans="2:14" x14ac:dyDescent="0.2"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</row>
    <row r="288" spans="2:14" x14ac:dyDescent="0.2"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</row>
    <row r="289" spans="2:14" x14ac:dyDescent="0.2"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</row>
    <row r="290" spans="2:14" x14ac:dyDescent="0.2"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</row>
    <row r="291" spans="2:14" x14ac:dyDescent="0.2"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</row>
    <row r="292" spans="2:14" x14ac:dyDescent="0.2"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</row>
    <row r="293" spans="2:14" x14ac:dyDescent="0.2"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</row>
    <row r="294" spans="2:14" x14ac:dyDescent="0.2"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</row>
    <row r="295" spans="2:14" x14ac:dyDescent="0.2"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</row>
  </sheetData>
  <mergeCells count="15">
    <mergeCell ref="I219:K219"/>
    <mergeCell ref="J223:L223"/>
    <mergeCell ref="I233:K233"/>
    <mergeCell ref="A1:N1"/>
    <mergeCell ref="E2:K2"/>
    <mergeCell ref="C87:G87"/>
    <mergeCell ref="G190:J190"/>
    <mergeCell ref="G196:J196"/>
    <mergeCell ref="H78:I78"/>
    <mergeCell ref="C34:F34"/>
    <mergeCell ref="C84:G84"/>
    <mergeCell ref="C48:F48"/>
    <mergeCell ref="B4:D4"/>
    <mergeCell ref="E4:G4"/>
    <mergeCell ref="J3:L3"/>
  </mergeCells>
  <pageMargins left="0.25" right="0.25" top="0.75" bottom="0.75" header="0.3" footer="0.3"/>
  <pageSetup paperSize="9" orientation="portrait" horizontalDpi="300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Parametros!$B$2:$C$2</xm:f>
          </x14:formula1>
          <xm:sqref>E2</xm:sqref>
        </x14:dataValidation>
        <x14:dataValidation type="list" allowBlank="1" showInputMessage="1" showErrorMessage="1">
          <x14:formula1>
            <xm:f>Parametros!$E$2:$E$6</xm:f>
          </x14:formula1>
          <xm:sqref>F86 K228 K214 F89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H6" sqref="H6"/>
    </sheetView>
  </sheetViews>
  <sheetFormatPr baseColWidth="10" defaultRowHeight="12.75" x14ac:dyDescent="0.2"/>
  <cols>
    <col min="1" max="1" width="12.140625" style="1" bestFit="1" customWidth="1"/>
    <col min="2" max="2" width="12.5703125" style="1" customWidth="1"/>
    <col min="3" max="3" width="11.42578125" style="1" bestFit="1" customWidth="1"/>
    <col min="4" max="4" width="10.85546875" style="1" bestFit="1" customWidth="1"/>
    <col min="5" max="5" width="6.140625" style="1" bestFit="1" customWidth="1"/>
    <col min="6" max="6" width="8.42578125" style="1" bestFit="1" customWidth="1"/>
    <col min="7" max="7" width="5" style="1" bestFit="1" customWidth="1"/>
    <col min="8" max="8" width="11.42578125" style="1"/>
    <col min="9" max="9" width="51.85546875" style="1" customWidth="1"/>
    <col min="10" max="10" width="34.7109375" style="1" customWidth="1"/>
    <col min="11" max="12" width="11.42578125" style="1"/>
    <col min="13" max="13" width="15.85546875" style="1" customWidth="1"/>
    <col min="14" max="16384" width="11.42578125" style="1"/>
  </cols>
  <sheetData>
    <row r="1" spans="1:15" x14ac:dyDescent="0.2">
      <c r="A1" s="146" t="s">
        <v>66</v>
      </c>
      <c r="B1" s="146"/>
      <c r="C1" s="146"/>
      <c r="E1" s="37" t="s">
        <v>33</v>
      </c>
      <c r="F1" s="37" t="s">
        <v>34</v>
      </c>
      <c r="G1" s="37" t="s">
        <v>35</v>
      </c>
      <c r="M1" s="34"/>
      <c r="N1" s="34"/>
      <c r="O1" s="34"/>
    </row>
    <row r="2" spans="1:15" x14ac:dyDescent="0.2">
      <c r="A2" s="1" t="s">
        <v>67</v>
      </c>
      <c r="B2" s="2" t="s">
        <v>62</v>
      </c>
      <c r="C2" s="2" t="s">
        <v>70</v>
      </c>
      <c r="E2" s="2" t="s">
        <v>36</v>
      </c>
      <c r="F2" s="2">
        <v>0.95250000000000001</v>
      </c>
      <c r="G2" s="2">
        <f>ROUND(PI()*F2^2/4,2)</f>
        <v>0.71</v>
      </c>
      <c r="H2" s="4">
        <v>3</v>
      </c>
      <c r="M2" s="1">
        <v>1.5</v>
      </c>
      <c r="N2" s="1">
        <v>1.2</v>
      </c>
      <c r="O2" s="1">
        <v>1</v>
      </c>
    </row>
    <row r="3" spans="1:15" x14ac:dyDescent="0.2">
      <c r="A3" s="1" t="s">
        <v>63</v>
      </c>
      <c r="B3" s="3">
        <v>0.9</v>
      </c>
      <c r="C3" s="3">
        <v>0.9</v>
      </c>
      <c r="E3" s="2" t="s">
        <v>37</v>
      </c>
      <c r="F3" s="2">
        <v>1.27</v>
      </c>
      <c r="G3" s="2">
        <f t="shared" ref="G3:G7" si="0">ROUND(PI()*F3^2/4,2)</f>
        <v>1.27</v>
      </c>
      <c r="H3" s="4">
        <v>4</v>
      </c>
    </row>
    <row r="4" spans="1:15" x14ac:dyDescent="0.2">
      <c r="A4" s="1" t="s">
        <v>64</v>
      </c>
      <c r="B4" s="3">
        <v>0.7</v>
      </c>
      <c r="C4" s="3">
        <v>0.65</v>
      </c>
      <c r="E4" s="2" t="s">
        <v>38</v>
      </c>
      <c r="F4" s="2">
        <v>1.5874999999999999</v>
      </c>
      <c r="G4" s="2">
        <f t="shared" si="0"/>
        <v>1.98</v>
      </c>
      <c r="H4" s="4">
        <v>5</v>
      </c>
    </row>
    <row r="5" spans="1:15" x14ac:dyDescent="0.2">
      <c r="A5" s="1" t="s">
        <v>65</v>
      </c>
      <c r="B5" s="3">
        <v>0.85</v>
      </c>
      <c r="C5" s="3">
        <v>0.75</v>
      </c>
      <c r="E5" s="2" t="s">
        <v>39</v>
      </c>
      <c r="F5" s="2">
        <v>1.905</v>
      </c>
      <c r="G5" s="2">
        <f t="shared" si="0"/>
        <v>2.85</v>
      </c>
      <c r="H5" s="4">
        <v>6</v>
      </c>
    </row>
    <row r="6" spans="1:15" x14ac:dyDescent="0.2">
      <c r="E6" s="2" t="s">
        <v>40</v>
      </c>
      <c r="F6" s="2">
        <v>2.54</v>
      </c>
      <c r="G6" s="2">
        <f t="shared" si="0"/>
        <v>5.07</v>
      </c>
      <c r="H6" s="4">
        <v>8</v>
      </c>
    </row>
    <row r="7" spans="1:15" x14ac:dyDescent="0.2">
      <c r="A7" s="147" t="s">
        <v>71</v>
      </c>
      <c r="B7" s="147"/>
      <c r="C7" s="147"/>
      <c r="E7" s="1" t="s">
        <v>185</v>
      </c>
      <c r="F7" s="1">
        <v>3.4925000000000002</v>
      </c>
      <c r="G7" s="1">
        <f t="shared" si="0"/>
        <v>9.58</v>
      </c>
      <c r="H7" s="4">
        <v>11</v>
      </c>
    </row>
    <row r="8" spans="1:15" x14ac:dyDescent="0.2">
      <c r="A8" s="1" t="s">
        <v>72</v>
      </c>
      <c r="B8" s="2" t="s">
        <v>62</v>
      </c>
      <c r="C8" s="2" t="s">
        <v>70</v>
      </c>
    </row>
    <row r="9" spans="1:15" x14ac:dyDescent="0.2">
      <c r="A9" s="1" t="s">
        <v>68</v>
      </c>
      <c r="B9" s="3">
        <v>1.5</v>
      </c>
      <c r="C9" s="3">
        <v>1.2</v>
      </c>
    </row>
    <row r="10" spans="1:15" x14ac:dyDescent="0.2">
      <c r="A10" s="1" t="s">
        <v>69</v>
      </c>
      <c r="B10" s="3">
        <v>1.8</v>
      </c>
      <c r="C10" s="3">
        <v>1.6</v>
      </c>
    </row>
    <row r="12" spans="1:15" x14ac:dyDescent="0.2">
      <c r="A12" s="1" t="s">
        <v>142</v>
      </c>
    </row>
    <row r="13" spans="1:15" x14ac:dyDescent="0.2">
      <c r="H13" s="33" t="s">
        <v>145</v>
      </c>
      <c r="I13" s="34" t="s">
        <v>153</v>
      </c>
      <c r="J13" s="33" t="s">
        <v>154</v>
      </c>
    </row>
    <row r="14" spans="1:15" x14ac:dyDescent="0.2">
      <c r="H14" s="144" t="s">
        <v>143</v>
      </c>
      <c r="I14" s="1" t="s">
        <v>146</v>
      </c>
      <c r="J14" s="3">
        <v>1.3</v>
      </c>
    </row>
    <row r="15" spans="1:15" x14ac:dyDescent="0.2">
      <c r="H15" s="144"/>
      <c r="I15" s="1" t="s">
        <v>147</v>
      </c>
      <c r="J15" s="3">
        <v>1</v>
      </c>
    </row>
    <row r="16" spans="1:15" ht="24.75" customHeight="1" x14ac:dyDescent="0.2">
      <c r="H16" s="144" t="s">
        <v>149</v>
      </c>
      <c r="I16" s="40" t="s">
        <v>148</v>
      </c>
      <c r="J16" s="41">
        <v>1.5</v>
      </c>
    </row>
    <row r="17" spans="8:10" x14ac:dyDescent="0.2">
      <c r="H17" s="144"/>
      <c r="I17" s="42" t="s">
        <v>150</v>
      </c>
      <c r="J17" s="43">
        <v>1.2</v>
      </c>
    </row>
    <row r="18" spans="8:10" x14ac:dyDescent="0.2">
      <c r="H18" s="144"/>
      <c r="I18" s="1" t="s">
        <v>151</v>
      </c>
      <c r="J18" s="3">
        <v>1</v>
      </c>
    </row>
    <row r="19" spans="8:10" x14ac:dyDescent="0.2">
      <c r="H19" s="144" t="s">
        <v>144</v>
      </c>
      <c r="I19" s="1" t="s">
        <v>171</v>
      </c>
      <c r="J19" s="3">
        <v>0.8</v>
      </c>
    </row>
    <row r="20" spans="8:10" x14ac:dyDescent="0.2">
      <c r="H20" s="144"/>
      <c r="I20" s="1" t="s">
        <v>152</v>
      </c>
      <c r="J20" s="3">
        <v>1</v>
      </c>
    </row>
    <row r="21" spans="8:10" x14ac:dyDescent="0.2">
      <c r="H21" s="144" t="s">
        <v>158</v>
      </c>
      <c r="I21" s="1" t="s">
        <v>157</v>
      </c>
      <c r="J21" s="32">
        <v>0.75</v>
      </c>
    </row>
    <row r="22" spans="8:10" ht="38.25" customHeight="1" x14ac:dyDescent="0.2">
      <c r="H22" s="145"/>
      <c r="I22" s="39" t="s">
        <v>155</v>
      </c>
    </row>
    <row r="23" spans="8:10" x14ac:dyDescent="0.2">
      <c r="H23" s="145"/>
      <c r="I23" s="1" t="s">
        <v>156</v>
      </c>
      <c r="J23" s="3">
        <v>1</v>
      </c>
    </row>
  </sheetData>
  <mergeCells count="6">
    <mergeCell ref="H21:H23"/>
    <mergeCell ref="A1:C1"/>
    <mergeCell ref="A7:C7"/>
    <mergeCell ref="H14:H15"/>
    <mergeCell ref="H16:H18"/>
    <mergeCell ref="H19:H2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2:J210"/>
  <sheetViews>
    <sheetView workbookViewId="0">
      <selection activeCell="B2" sqref="B2:J210"/>
    </sheetView>
  </sheetViews>
  <sheetFormatPr baseColWidth="10" defaultRowHeight="15" x14ac:dyDescent="0.25"/>
  <sheetData>
    <row r="2" spans="2:10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2:10" hidden="1" x14ac:dyDescent="0.25">
      <c r="B3" t="s">
        <v>207</v>
      </c>
      <c r="C3">
        <v>1</v>
      </c>
      <c r="D3" t="s">
        <v>208</v>
      </c>
      <c r="E3">
        <v>126.08</v>
      </c>
      <c r="F3">
        <v>1344.51</v>
      </c>
      <c r="G3">
        <v>20683.64</v>
      </c>
      <c r="H3">
        <v>-20.198</v>
      </c>
      <c r="I3">
        <v>-3387.1909999999998</v>
      </c>
      <c r="J3">
        <v>-0.39300000000000002</v>
      </c>
    </row>
    <row r="4" spans="2:10" hidden="1" x14ac:dyDescent="0.25">
      <c r="B4" t="s">
        <v>207</v>
      </c>
      <c r="C4">
        <v>1</v>
      </c>
      <c r="D4" t="s">
        <v>209</v>
      </c>
      <c r="E4">
        <v>58.73</v>
      </c>
      <c r="F4">
        <v>221.65</v>
      </c>
      <c r="G4">
        <v>3590.06</v>
      </c>
      <c r="H4">
        <v>-1.244</v>
      </c>
      <c r="I4">
        <v>-566.79399999999998</v>
      </c>
      <c r="J4">
        <v>-1.431</v>
      </c>
    </row>
    <row r="5" spans="2:10" hidden="1" x14ac:dyDescent="0.25">
      <c r="B5" t="s">
        <v>207</v>
      </c>
      <c r="C5">
        <v>2</v>
      </c>
      <c r="D5" t="s">
        <v>208</v>
      </c>
      <c r="E5">
        <v>245.14</v>
      </c>
      <c r="F5">
        <v>32.82</v>
      </c>
      <c r="G5">
        <v>24795.3</v>
      </c>
      <c r="H5">
        <v>-9.2550000000000008</v>
      </c>
      <c r="I5">
        <v>-3851.0320000000002</v>
      </c>
      <c r="J5">
        <v>-5.9359999999999999</v>
      </c>
    </row>
    <row r="6" spans="2:10" hidden="1" x14ac:dyDescent="0.25">
      <c r="B6" t="s">
        <v>207</v>
      </c>
      <c r="C6">
        <v>2</v>
      </c>
      <c r="D6" t="s">
        <v>209</v>
      </c>
      <c r="E6">
        <v>125.29</v>
      </c>
      <c r="F6">
        <v>13.43</v>
      </c>
      <c r="G6">
        <v>4773.9399999999996</v>
      </c>
      <c r="H6">
        <v>-3.4049999999999998</v>
      </c>
      <c r="I6">
        <v>-669.60500000000002</v>
      </c>
      <c r="J6">
        <v>-2.403</v>
      </c>
    </row>
    <row r="7" spans="2:10" hidden="1" x14ac:dyDescent="0.25">
      <c r="B7" t="s">
        <v>207</v>
      </c>
      <c r="C7">
        <v>3</v>
      </c>
      <c r="D7" t="s">
        <v>208</v>
      </c>
      <c r="E7">
        <v>1460.07</v>
      </c>
      <c r="F7">
        <v>10.050000000000001</v>
      </c>
      <c r="G7">
        <v>43274.41</v>
      </c>
      <c r="H7">
        <v>-4.0250000000000004</v>
      </c>
      <c r="I7">
        <v>-5989.19</v>
      </c>
      <c r="J7">
        <v>-3.23</v>
      </c>
    </row>
    <row r="8" spans="2:10" hidden="1" x14ac:dyDescent="0.25">
      <c r="B8" t="s">
        <v>207</v>
      </c>
      <c r="C8">
        <v>3</v>
      </c>
      <c r="D8" t="s">
        <v>209</v>
      </c>
      <c r="E8">
        <v>627.95000000000005</v>
      </c>
      <c r="F8">
        <v>6.02</v>
      </c>
      <c r="G8">
        <v>9246.51</v>
      </c>
      <c r="H8">
        <v>-1.744</v>
      </c>
      <c r="I8">
        <v>-1008.448</v>
      </c>
      <c r="J8">
        <v>-0.83599999999999997</v>
      </c>
    </row>
    <row r="9" spans="2:10" hidden="1" x14ac:dyDescent="0.25">
      <c r="B9" t="s">
        <v>207</v>
      </c>
      <c r="C9">
        <v>4</v>
      </c>
      <c r="D9" t="s">
        <v>208</v>
      </c>
      <c r="E9">
        <v>1461.72</v>
      </c>
      <c r="F9">
        <v>-5.61</v>
      </c>
      <c r="G9">
        <v>43337.62</v>
      </c>
      <c r="H9">
        <v>1.2549999999999999</v>
      </c>
      <c r="I9">
        <v>-6020.9589999999998</v>
      </c>
      <c r="J9">
        <v>-8.3000000000000004E-2</v>
      </c>
    </row>
    <row r="10" spans="2:10" hidden="1" x14ac:dyDescent="0.25">
      <c r="B10" t="s">
        <v>207</v>
      </c>
      <c r="C10">
        <v>4</v>
      </c>
      <c r="D10" t="s">
        <v>209</v>
      </c>
      <c r="E10">
        <v>627.79999999999995</v>
      </c>
      <c r="F10">
        <v>-2.15</v>
      </c>
      <c r="G10">
        <v>9434.48</v>
      </c>
      <c r="H10">
        <v>1.0109999999999999</v>
      </c>
      <c r="I10">
        <v>-1046.095</v>
      </c>
      <c r="J10">
        <v>1.7000000000000001E-2</v>
      </c>
    </row>
    <row r="11" spans="2:10" hidden="1" x14ac:dyDescent="0.25">
      <c r="B11" t="s">
        <v>207</v>
      </c>
      <c r="C11">
        <v>5</v>
      </c>
      <c r="D11" t="s">
        <v>208</v>
      </c>
      <c r="E11">
        <v>1452.8</v>
      </c>
      <c r="F11">
        <v>-36.81</v>
      </c>
      <c r="G11">
        <v>41599.800000000003</v>
      </c>
      <c r="H11">
        <v>11.771000000000001</v>
      </c>
      <c r="I11">
        <v>-5707.3630000000003</v>
      </c>
      <c r="J11">
        <v>3.2559999999999998</v>
      </c>
    </row>
    <row r="12" spans="2:10" hidden="1" x14ac:dyDescent="0.25">
      <c r="B12" t="s">
        <v>207</v>
      </c>
      <c r="C12">
        <v>5</v>
      </c>
      <c r="D12" t="s">
        <v>209</v>
      </c>
      <c r="E12">
        <v>621.28</v>
      </c>
      <c r="F12">
        <v>-13.62</v>
      </c>
      <c r="G12">
        <v>8925.59</v>
      </c>
      <c r="H12">
        <v>4.8780000000000001</v>
      </c>
      <c r="I12">
        <v>-951.13800000000003</v>
      </c>
      <c r="J12">
        <v>1.8979999999999999</v>
      </c>
    </row>
    <row r="13" spans="2:10" hidden="1" x14ac:dyDescent="0.25">
      <c r="B13" t="s">
        <v>207</v>
      </c>
      <c r="C13">
        <v>6</v>
      </c>
      <c r="D13" t="s">
        <v>208</v>
      </c>
      <c r="E13">
        <v>866.85</v>
      </c>
      <c r="F13">
        <v>-1319.95</v>
      </c>
      <c r="G13">
        <v>34067.5</v>
      </c>
      <c r="H13">
        <v>31.41</v>
      </c>
      <c r="I13">
        <v>-5095.5789999999997</v>
      </c>
      <c r="J13">
        <v>-0.72899999999999998</v>
      </c>
    </row>
    <row r="14" spans="2:10" hidden="1" x14ac:dyDescent="0.25">
      <c r="B14" t="s">
        <v>207</v>
      </c>
      <c r="C14">
        <v>6</v>
      </c>
      <c r="D14" t="s">
        <v>209</v>
      </c>
      <c r="E14">
        <v>319.35000000000002</v>
      </c>
      <c r="F14">
        <v>-249.21</v>
      </c>
      <c r="G14">
        <v>6718.35</v>
      </c>
      <c r="H14">
        <v>3.38</v>
      </c>
      <c r="I14">
        <v>-890.67399999999998</v>
      </c>
      <c r="J14">
        <v>1.694</v>
      </c>
    </row>
    <row r="15" spans="2:10" hidden="1" x14ac:dyDescent="0.25">
      <c r="B15" t="s">
        <v>207</v>
      </c>
      <c r="C15">
        <v>7</v>
      </c>
      <c r="D15" t="s">
        <v>208</v>
      </c>
      <c r="E15">
        <v>-126.08</v>
      </c>
      <c r="F15">
        <v>1344.51</v>
      </c>
      <c r="G15">
        <v>20683.64</v>
      </c>
      <c r="H15">
        <v>-20.198</v>
      </c>
      <c r="I15">
        <v>3387.1909999999998</v>
      </c>
      <c r="J15">
        <v>0.39300000000000002</v>
      </c>
    </row>
    <row r="16" spans="2:10" hidden="1" x14ac:dyDescent="0.25">
      <c r="B16" t="s">
        <v>207</v>
      </c>
      <c r="C16">
        <v>7</v>
      </c>
      <c r="D16" t="s">
        <v>209</v>
      </c>
      <c r="E16">
        <v>-58.73</v>
      </c>
      <c r="F16">
        <v>221.65</v>
      </c>
      <c r="G16">
        <v>3590.06</v>
      </c>
      <c r="H16">
        <v>-1.244</v>
      </c>
      <c r="I16">
        <v>566.79399999999998</v>
      </c>
      <c r="J16">
        <v>1.431</v>
      </c>
    </row>
    <row r="17" spans="2:10" hidden="1" x14ac:dyDescent="0.25">
      <c r="B17" t="s">
        <v>207</v>
      </c>
      <c r="C17">
        <v>8</v>
      </c>
      <c r="D17" t="s">
        <v>208</v>
      </c>
      <c r="E17">
        <v>-245.14</v>
      </c>
      <c r="F17">
        <v>32.82</v>
      </c>
      <c r="G17">
        <v>24795.3</v>
      </c>
      <c r="H17">
        <v>-9.2550000000000008</v>
      </c>
      <c r="I17">
        <v>3851.0320000000002</v>
      </c>
      <c r="J17">
        <v>5.9359999999999999</v>
      </c>
    </row>
    <row r="18" spans="2:10" hidden="1" x14ac:dyDescent="0.25">
      <c r="B18" t="s">
        <v>207</v>
      </c>
      <c r="C18">
        <v>8</v>
      </c>
      <c r="D18" t="s">
        <v>209</v>
      </c>
      <c r="E18">
        <v>-125.29</v>
      </c>
      <c r="F18">
        <v>13.43</v>
      </c>
      <c r="G18">
        <v>4773.9399999999996</v>
      </c>
      <c r="H18">
        <v>-3.4049999999999998</v>
      </c>
      <c r="I18">
        <v>669.60500000000002</v>
      </c>
      <c r="J18">
        <v>2.403</v>
      </c>
    </row>
    <row r="19" spans="2:10" hidden="1" x14ac:dyDescent="0.25">
      <c r="B19" t="s">
        <v>207</v>
      </c>
      <c r="C19">
        <v>9</v>
      </c>
      <c r="D19" t="s">
        <v>208</v>
      </c>
      <c r="E19">
        <v>-1460.07</v>
      </c>
      <c r="F19">
        <v>10.050000000000001</v>
      </c>
      <c r="G19">
        <v>43274.41</v>
      </c>
      <c r="H19">
        <v>-4.0250000000000004</v>
      </c>
      <c r="I19">
        <v>5989.19</v>
      </c>
      <c r="J19">
        <v>3.23</v>
      </c>
    </row>
    <row r="20" spans="2:10" hidden="1" x14ac:dyDescent="0.25">
      <c r="B20" t="s">
        <v>207</v>
      </c>
      <c r="C20">
        <v>9</v>
      </c>
      <c r="D20" t="s">
        <v>209</v>
      </c>
      <c r="E20">
        <v>-627.95000000000005</v>
      </c>
      <c r="F20">
        <v>6.02</v>
      </c>
      <c r="G20">
        <v>9246.51</v>
      </c>
      <c r="H20">
        <v>-1.744</v>
      </c>
      <c r="I20">
        <v>1008.448</v>
      </c>
      <c r="J20">
        <v>0.83599999999999997</v>
      </c>
    </row>
    <row r="21" spans="2:10" hidden="1" x14ac:dyDescent="0.25">
      <c r="B21" t="s">
        <v>207</v>
      </c>
      <c r="C21">
        <v>10</v>
      </c>
      <c r="D21" t="s">
        <v>208</v>
      </c>
      <c r="E21">
        <v>-1461.72</v>
      </c>
      <c r="F21">
        <v>-5.61</v>
      </c>
      <c r="G21">
        <v>43337.62</v>
      </c>
      <c r="H21">
        <v>1.2549999999999999</v>
      </c>
      <c r="I21">
        <v>6020.9589999999998</v>
      </c>
      <c r="J21">
        <v>8.3000000000000004E-2</v>
      </c>
    </row>
    <row r="22" spans="2:10" hidden="1" x14ac:dyDescent="0.25">
      <c r="B22" t="s">
        <v>207</v>
      </c>
      <c r="C22">
        <v>10</v>
      </c>
      <c r="D22" t="s">
        <v>209</v>
      </c>
      <c r="E22">
        <v>-627.79999999999995</v>
      </c>
      <c r="F22">
        <v>-2.15</v>
      </c>
      <c r="G22">
        <v>9434.48</v>
      </c>
      <c r="H22">
        <v>1.0109999999999999</v>
      </c>
      <c r="I22">
        <v>1046.095</v>
      </c>
      <c r="J22">
        <v>-1.7000000000000001E-2</v>
      </c>
    </row>
    <row r="23" spans="2:10" hidden="1" x14ac:dyDescent="0.25">
      <c r="B23" t="s">
        <v>207</v>
      </c>
      <c r="C23">
        <v>11</v>
      </c>
      <c r="D23" t="s">
        <v>208</v>
      </c>
      <c r="E23">
        <v>-1452.8</v>
      </c>
      <c r="F23">
        <v>-36.81</v>
      </c>
      <c r="G23">
        <v>41599.800000000003</v>
      </c>
      <c r="H23">
        <v>11.771000000000001</v>
      </c>
      <c r="I23">
        <v>5707.3630000000003</v>
      </c>
      <c r="J23">
        <v>-3.2559999999999998</v>
      </c>
    </row>
    <row r="24" spans="2:10" hidden="1" x14ac:dyDescent="0.25">
      <c r="B24" t="s">
        <v>207</v>
      </c>
      <c r="C24">
        <v>11</v>
      </c>
      <c r="D24" t="s">
        <v>209</v>
      </c>
      <c r="E24">
        <v>-621.28</v>
      </c>
      <c r="F24">
        <v>-13.62</v>
      </c>
      <c r="G24">
        <v>8925.59</v>
      </c>
      <c r="H24">
        <v>4.8780000000000001</v>
      </c>
      <c r="I24">
        <v>951.13800000000003</v>
      </c>
      <c r="J24">
        <v>-1.8979999999999999</v>
      </c>
    </row>
    <row r="25" spans="2:10" hidden="1" x14ac:dyDescent="0.25">
      <c r="B25" t="s">
        <v>207</v>
      </c>
      <c r="C25">
        <v>12</v>
      </c>
      <c r="D25" t="s">
        <v>208</v>
      </c>
      <c r="E25">
        <v>-866.85</v>
      </c>
      <c r="F25">
        <v>-1319.95</v>
      </c>
      <c r="G25">
        <v>34067.5</v>
      </c>
      <c r="H25">
        <v>31.41</v>
      </c>
      <c r="I25">
        <v>5095.5789999999997</v>
      </c>
      <c r="J25">
        <v>0.72899999999999998</v>
      </c>
    </row>
    <row r="26" spans="2:10" hidden="1" x14ac:dyDescent="0.25">
      <c r="B26" t="s">
        <v>207</v>
      </c>
      <c r="C26">
        <v>12</v>
      </c>
      <c r="D26" t="s">
        <v>209</v>
      </c>
      <c r="E26">
        <v>-319.35000000000002</v>
      </c>
      <c r="F26">
        <v>-249.21</v>
      </c>
      <c r="G26">
        <v>6718.35</v>
      </c>
      <c r="H26">
        <v>3.38</v>
      </c>
      <c r="I26">
        <v>890.67399999999998</v>
      </c>
      <c r="J26">
        <v>-1.694</v>
      </c>
    </row>
    <row r="27" spans="2:10" hidden="1" x14ac:dyDescent="0.25">
      <c r="B27" t="s">
        <v>207</v>
      </c>
      <c r="C27">
        <v>13</v>
      </c>
      <c r="D27" t="s">
        <v>208</v>
      </c>
      <c r="E27">
        <v>-12.52</v>
      </c>
      <c r="F27">
        <v>77.02</v>
      </c>
      <c r="G27">
        <v>1285.74</v>
      </c>
      <c r="H27">
        <v>0</v>
      </c>
      <c r="I27">
        <v>0</v>
      </c>
      <c r="J27">
        <v>0</v>
      </c>
    </row>
    <row r="28" spans="2:10" hidden="1" x14ac:dyDescent="0.25">
      <c r="B28" t="s">
        <v>207</v>
      </c>
      <c r="C28">
        <v>13</v>
      </c>
      <c r="D28" t="s">
        <v>209</v>
      </c>
      <c r="E28">
        <v>-6.55</v>
      </c>
      <c r="F28">
        <v>6.41</v>
      </c>
      <c r="G28">
        <v>194.37</v>
      </c>
      <c r="H28">
        <v>0</v>
      </c>
      <c r="I28">
        <v>0</v>
      </c>
      <c r="J28">
        <v>0</v>
      </c>
    </row>
    <row r="29" spans="2:10" hidden="1" x14ac:dyDescent="0.25">
      <c r="B29" t="s">
        <v>207</v>
      </c>
      <c r="C29">
        <v>14</v>
      </c>
      <c r="D29" t="s">
        <v>208</v>
      </c>
      <c r="E29">
        <v>2.88</v>
      </c>
      <c r="F29">
        <v>72.84</v>
      </c>
      <c r="G29">
        <v>1289.82</v>
      </c>
      <c r="H29">
        <v>0</v>
      </c>
      <c r="I29">
        <v>0</v>
      </c>
      <c r="J29">
        <v>0</v>
      </c>
    </row>
    <row r="30" spans="2:10" hidden="1" x14ac:dyDescent="0.25">
      <c r="B30" t="s">
        <v>207</v>
      </c>
      <c r="C30">
        <v>14</v>
      </c>
      <c r="D30" t="s">
        <v>209</v>
      </c>
      <c r="E30">
        <v>1.51</v>
      </c>
      <c r="F30">
        <v>7.99</v>
      </c>
      <c r="G30">
        <v>197.55</v>
      </c>
      <c r="H30">
        <v>0</v>
      </c>
      <c r="I30">
        <v>0</v>
      </c>
      <c r="J30">
        <v>0</v>
      </c>
    </row>
    <row r="31" spans="2:10" hidden="1" x14ac:dyDescent="0.25">
      <c r="B31" t="s">
        <v>207</v>
      </c>
      <c r="C31">
        <v>15</v>
      </c>
      <c r="D31" t="s">
        <v>208</v>
      </c>
      <c r="E31">
        <v>-0.28999999999999998</v>
      </c>
      <c r="F31">
        <v>65.510000000000005</v>
      </c>
      <c r="G31">
        <v>1311.01</v>
      </c>
      <c r="H31">
        <v>0</v>
      </c>
      <c r="I31">
        <v>0</v>
      </c>
      <c r="J31">
        <v>0</v>
      </c>
    </row>
    <row r="32" spans="2:10" hidden="1" x14ac:dyDescent="0.25">
      <c r="B32" t="s">
        <v>207</v>
      </c>
      <c r="C32">
        <v>15</v>
      </c>
      <c r="D32" t="s">
        <v>209</v>
      </c>
      <c r="E32">
        <v>-0.14000000000000001</v>
      </c>
      <c r="F32">
        <v>10.02</v>
      </c>
      <c r="G32">
        <v>201.82</v>
      </c>
      <c r="H32">
        <v>0</v>
      </c>
      <c r="I32">
        <v>0</v>
      </c>
      <c r="J32">
        <v>0</v>
      </c>
    </row>
    <row r="33" spans="2:10" hidden="1" x14ac:dyDescent="0.25">
      <c r="B33" t="s">
        <v>207</v>
      </c>
      <c r="C33">
        <v>16</v>
      </c>
      <c r="D33" t="s">
        <v>208</v>
      </c>
      <c r="E33">
        <v>0.36</v>
      </c>
      <c r="F33">
        <v>56.69</v>
      </c>
      <c r="G33">
        <v>1331.88</v>
      </c>
      <c r="H33">
        <v>0</v>
      </c>
      <c r="I33">
        <v>0</v>
      </c>
      <c r="J33">
        <v>0</v>
      </c>
    </row>
    <row r="34" spans="2:10" hidden="1" x14ac:dyDescent="0.25">
      <c r="B34" t="s">
        <v>207</v>
      </c>
      <c r="C34">
        <v>16</v>
      </c>
      <c r="D34" t="s">
        <v>209</v>
      </c>
      <c r="E34">
        <v>0.2</v>
      </c>
      <c r="F34">
        <v>12.23</v>
      </c>
      <c r="G34">
        <v>206.41</v>
      </c>
      <c r="H34">
        <v>0</v>
      </c>
      <c r="I34">
        <v>0</v>
      </c>
      <c r="J34">
        <v>0</v>
      </c>
    </row>
    <row r="35" spans="2:10" hidden="1" x14ac:dyDescent="0.25">
      <c r="B35" t="s">
        <v>207</v>
      </c>
      <c r="C35">
        <v>17</v>
      </c>
      <c r="D35" t="s">
        <v>208</v>
      </c>
      <c r="E35">
        <v>0.27</v>
      </c>
      <c r="F35">
        <v>47.49</v>
      </c>
      <c r="G35">
        <v>1351.28</v>
      </c>
      <c r="H35">
        <v>0</v>
      </c>
      <c r="I35">
        <v>0</v>
      </c>
      <c r="J35">
        <v>0</v>
      </c>
    </row>
    <row r="36" spans="2:10" hidden="1" x14ac:dyDescent="0.25">
      <c r="B36" t="s">
        <v>207</v>
      </c>
      <c r="C36">
        <v>17</v>
      </c>
      <c r="D36" t="s">
        <v>209</v>
      </c>
      <c r="E36">
        <v>0.16</v>
      </c>
      <c r="F36">
        <v>14.4</v>
      </c>
      <c r="G36">
        <v>211.34</v>
      </c>
      <c r="H36">
        <v>0</v>
      </c>
      <c r="I36">
        <v>0</v>
      </c>
      <c r="J36">
        <v>0</v>
      </c>
    </row>
    <row r="37" spans="2:10" hidden="1" x14ac:dyDescent="0.25">
      <c r="B37" t="s">
        <v>207</v>
      </c>
      <c r="C37">
        <v>18</v>
      </c>
      <c r="D37" t="s">
        <v>208</v>
      </c>
      <c r="E37">
        <v>0.14000000000000001</v>
      </c>
      <c r="F37">
        <v>38.75</v>
      </c>
      <c r="G37">
        <v>1368.91</v>
      </c>
      <c r="H37">
        <v>0</v>
      </c>
      <c r="I37">
        <v>0</v>
      </c>
      <c r="J37">
        <v>0</v>
      </c>
    </row>
    <row r="38" spans="2:10" hidden="1" x14ac:dyDescent="0.25">
      <c r="B38" t="s">
        <v>207</v>
      </c>
      <c r="C38">
        <v>18</v>
      </c>
      <c r="D38" t="s">
        <v>209</v>
      </c>
      <c r="E38">
        <v>0.09</v>
      </c>
      <c r="F38">
        <v>16.260000000000002</v>
      </c>
      <c r="G38">
        <v>216.42</v>
      </c>
      <c r="H38">
        <v>0</v>
      </c>
      <c r="I38">
        <v>0</v>
      </c>
      <c r="J38">
        <v>0</v>
      </c>
    </row>
    <row r="39" spans="2:10" hidden="1" x14ac:dyDescent="0.25">
      <c r="B39" t="s">
        <v>207</v>
      </c>
      <c r="C39">
        <v>19</v>
      </c>
      <c r="D39" t="s">
        <v>208</v>
      </c>
      <c r="E39">
        <v>0.99</v>
      </c>
      <c r="F39">
        <v>31.25</v>
      </c>
      <c r="G39">
        <v>1385.19</v>
      </c>
      <c r="H39">
        <v>0</v>
      </c>
      <c r="I39">
        <v>0</v>
      </c>
      <c r="J39">
        <v>0</v>
      </c>
    </row>
    <row r="40" spans="2:10" hidden="1" x14ac:dyDescent="0.25">
      <c r="B40" t="s">
        <v>207</v>
      </c>
      <c r="C40">
        <v>19</v>
      </c>
      <c r="D40" t="s">
        <v>209</v>
      </c>
      <c r="E40">
        <v>0.52</v>
      </c>
      <c r="F40">
        <v>17.48</v>
      </c>
      <c r="G40">
        <v>221.22</v>
      </c>
      <c r="H40">
        <v>0</v>
      </c>
      <c r="I40">
        <v>0</v>
      </c>
      <c r="J40">
        <v>0</v>
      </c>
    </row>
    <row r="41" spans="2:10" hidden="1" x14ac:dyDescent="0.25">
      <c r="B41" t="s">
        <v>207</v>
      </c>
      <c r="C41">
        <v>20</v>
      </c>
      <c r="D41" t="s">
        <v>208</v>
      </c>
      <c r="E41">
        <v>-3.04</v>
      </c>
      <c r="F41">
        <v>25.93</v>
      </c>
      <c r="G41">
        <v>1401.3</v>
      </c>
      <c r="H41">
        <v>0</v>
      </c>
      <c r="I41">
        <v>0</v>
      </c>
      <c r="J41">
        <v>0</v>
      </c>
    </row>
    <row r="42" spans="2:10" hidden="1" x14ac:dyDescent="0.25">
      <c r="B42" t="s">
        <v>207</v>
      </c>
      <c r="C42">
        <v>20</v>
      </c>
      <c r="D42" t="s">
        <v>209</v>
      </c>
      <c r="E42">
        <v>-1.52</v>
      </c>
      <c r="F42">
        <v>17.55</v>
      </c>
      <c r="G42">
        <v>224.98</v>
      </c>
      <c r="H42">
        <v>0</v>
      </c>
      <c r="I42">
        <v>0</v>
      </c>
      <c r="J42">
        <v>0</v>
      </c>
    </row>
    <row r="43" spans="2:10" hidden="1" x14ac:dyDescent="0.25">
      <c r="B43" t="s">
        <v>207</v>
      </c>
      <c r="C43">
        <v>21</v>
      </c>
      <c r="D43" t="s">
        <v>208</v>
      </c>
      <c r="E43">
        <v>16.739999999999998</v>
      </c>
      <c r="F43">
        <v>24.05</v>
      </c>
      <c r="G43">
        <v>1413.6</v>
      </c>
      <c r="H43">
        <v>0</v>
      </c>
      <c r="I43">
        <v>0</v>
      </c>
      <c r="J43">
        <v>0</v>
      </c>
    </row>
    <row r="44" spans="2:10" hidden="1" x14ac:dyDescent="0.25">
      <c r="B44" t="s">
        <v>207</v>
      </c>
      <c r="C44">
        <v>21</v>
      </c>
      <c r="D44" t="s">
        <v>209</v>
      </c>
      <c r="E44">
        <v>8.5</v>
      </c>
      <c r="F44">
        <v>15.7</v>
      </c>
      <c r="G44">
        <v>224.44</v>
      </c>
      <c r="H44">
        <v>0</v>
      </c>
      <c r="I44">
        <v>0</v>
      </c>
      <c r="J44">
        <v>0</v>
      </c>
    </row>
    <row r="45" spans="2:10" hidden="1" x14ac:dyDescent="0.25">
      <c r="B45" t="s">
        <v>207</v>
      </c>
      <c r="C45">
        <v>22</v>
      </c>
      <c r="D45" t="s">
        <v>208</v>
      </c>
      <c r="E45">
        <v>-12.08</v>
      </c>
      <c r="F45">
        <v>31.19</v>
      </c>
      <c r="G45">
        <v>1447.34</v>
      </c>
      <c r="H45">
        <v>0</v>
      </c>
      <c r="I45">
        <v>0</v>
      </c>
      <c r="J45">
        <v>0</v>
      </c>
    </row>
    <row r="46" spans="2:10" hidden="1" x14ac:dyDescent="0.25">
      <c r="B46" t="s">
        <v>207</v>
      </c>
      <c r="C46">
        <v>22</v>
      </c>
      <c r="D46" t="s">
        <v>209</v>
      </c>
      <c r="E46">
        <v>-3.07</v>
      </c>
      <c r="F46">
        <v>7.16</v>
      </c>
      <c r="G46">
        <v>238.82</v>
      </c>
      <c r="H46">
        <v>0</v>
      </c>
      <c r="I46">
        <v>0</v>
      </c>
      <c r="J46">
        <v>0</v>
      </c>
    </row>
    <row r="47" spans="2:10" hidden="1" x14ac:dyDescent="0.25">
      <c r="B47" t="s">
        <v>207</v>
      </c>
      <c r="C47">
        <v>23</v>
      </c>
      <c r="D47" t="s">
        <v>208</v>
      </c>
      <c r="E47">
        <v>2.9</v>
      </c>
      <c r="F47">
        <v>30.61</v>
      </c>
      <c r="G47">
        <v>1443.8</v>
      </c>
      <c r="H47">
        <v>0</v>
      </c>
      <c r="I47">
        <v>0</v>
      </c>
      <c r="J47">
        <v>0</v>
      </c>
    </row>
    <row r="48" spans="2:10" hidden="1" x14ac:dyDescent="0.25">
      <c r="B48" t="s">
        <v>207</v>
      </c>
      <c r="C48">
        <v>23</v>
      </c>
      <c r="D48" t="s">
        <v>209</v>
      </c>
      <c r="E48">
        <v>0.88</v>
      </c>
      <c r="F48">
        <v>5.8</v>
      </c>
      <c r="G48">
        <v>244.11</v>
      </c>
      <c r="H48">
        <v>0</v>
      </c>
      <c r="I48">
        <v>0</v>
      </c>
      <c r="J48">
        <v>0</v>
      </c>
    </row>
    <row r="49" spans="2:10" hidden="1" x14ac:dyDescent="0.25">
      <c r="B49" t="s">
        <v>207</v>
      </c>
      <c r="C49">
        <v>24</v>
      </c>
      <c r="D49" t="s">
        <v>208</v>
      </c>
      <c r="E49">
        <v>-0.2</v>
      </c>
      <c r="F49">
        <v>26.44</v>
      </c>
      <c r="G49">
        <v>1448.32</v>
      </c>
      <c r="H49">
        <v>0</v>
      </c>
      <c r="I49">
        <v>0</v>
      </c>
      <c r="J49">
        <v>0</v>
      </c>
    </row>
    <row r="50" spans="2:10" hidden="1" x14ac:dyDescent="0.25">
      <c r="B50" t="s">
        <v>207</v>
      </c>
      <c r="C50">
        <v>24</v>
      </c>
      <c r="D50" t="s">
        <v>209</v>
      </c>
      <c r="E50">
        <v>7.0000000000000007E-2</v>
      </c>
      <c r="F50">
        <v>6.22</v>
      </c>
      <c r="G50">
        <v>249.46</v>
      </c>
      <c r="H50">
        <v>0</v>
      </c>
      <c r="I50">
        <v>0</v>
      </c>
      <c r="J50">
        <v>0</v>
      </c>
    </row>
    <row r="51" spans="2:10" hidden="1" x14ac:dyDescent="0.25">
      <c r="B51" t="s">
        <v>207</v>
      </c>
      <c r="C51">
        <v>25</v>
      </c>
      <c r="D51" t="s">
        <v>208</v>
      </c>
      <c r="E51">
        <v>0.42</v>
      </c>
      <c r="F51">
        <v>20.170000000000002</v>
      </c>
      <c r="G51">
        <v>1453.56</v>
      </c>
      <c r="H51">
        <v>0</v>
      </c>
      <c r="I51">
        <v>0</v>
      </c>
      <c r="J51">
        <v>0</v>
      </c>
    </row>
    <row r="52" spans="2:10" hidden="1" x14ac:dyDescent="0.25">
      <c r="B52" t="s">
        <v>207</v>
      </c>
      <c r="C52">
        <v>25</v>
      </c>
      <c r="D52" t="s">
        <v>209</v>
      </c>
      <c r="E52">
        <v>0.24</v>
      </c>
      <c r="F52">
        <v>7.66</v>
      </c>
      <c r="G52">
        <v>253.75</v>
      </c>
      <c r="H52">
        <v>0</v>
      </c>
      <c r="I52">
        <v>0</v>
      </c>
      <c r="J52">
        <v>0</v>
      </c>
    </row>
    <row r="53" spans="2:10" hidden="1" x14ac:dyDescent="0.25">
      <c r="B53" t="s">
        <v>207</v>
      </c>
      <c r="C53">
        <v>26</v>
      </c>
      <c r="D53" t="s">
        <v>208</v>
      </c>
      <c r="E53">
        <v>0.33</v>
      </c>
      <c r="F53">
        <v>12.98</v>
      </c>
      <c r="G53">
        <v>1458.52</v>
      </c>
      <c r="H53">
        <v>0</v>
      </c>
      <c r="I53">
        <v>0</v>
      </c>
      <c r="J53">
        <v>0</v>
      </c>
    </row>
    <row r="54" spans="2:10" hidden="1" x14ac:dyDescent="0.25">
      <c r="B54" t="s">
        <v>207</v>
      </c>
      <c r="C54">
        <v>26</v>
      </c>
      <c r="D54" t="s">
        <v>209</v>
      </c>
      <c r="E54">
        <v>0.22</v>
      </c>
      <c r="F54">
        <v>9.51</v>
      </c>
      <c r="G54">
        <v>257.57</v>
      </c>
      <c r="H54">
        <v>0</v>
      </c>
      <c r="I54">
        <v>0</v>
      </c>
      <c r="J54">
        <v>0</v>
      </c>
    </row>
    <row r="55" spans="2:10" hidden="1" x14ac:dyDescent="0.25">
      <c r="B55" t="s">
        <v>207</v>
      </c>
      <c r="C55">
        <v>27</v>
      </c>
      <c r="D55" t="s">
        <v>208</v>
      </c>
      <c r="E55">
        <v>0.18</v>
      </c>
      <c r="F55">
        <v>5.92</v>
      </c>
      <c r="G55">
        <v>1463.02</v>
      </c>
      <c r="H55">
        <v>0</v>
      </c>
      <c r="I55">
        <v>0</v>
      </c>
      <c r="J55">
        <v>0</v>
      </c>
    </row>
    <row r="56" spans="2:10" hidden="1" x14ac:dyDescent="0.25">
      <c r="B56" t="s">
        <v>207</v>
      </c>
      <c r="C56">
        <v>27</v>
      </c>
      <c r="D56" t="s">
        <v>209</v>
      </c>
      <c r="E56">
        <v>0.18</v>
      </c>
      <c r="F56">
        <v>11.28</v>
      </c>
      <c r="G56">
        <v>261.02999999999997</v>
      </c>
      <c r="H56">
        <v>0</v>
      </c>
      <c r="I56">
        <v>0</v>
      </c>
      <c r="J56">
        <v>0</v>
      </c>
    </row>
    <row r="57" spans="2:10" hidden="1" x14ac:dyDescent="0.25">
      <c r="B57" t="s">
        <v>207</v>
      </c>
      <c r="C57">
        <v>28</v>
      </c>
      <c r="D57" t="s">
        <v>208</v>
      </c>
      <c r="E57">
        <v>1.1200000000000001</v>
      </c>
      <c r="F57">
        <v>0.14000000000000001</v>
      </c>
      <c r="G57">
        <v>1467.75</v>
      </c>
      <c r="H57">
        <v>0</v>
      </c>
      <c r="I57">
        <v>0</v>
      </c>
      <c r="J57">
        <v>0</v>
      </c>
    </row>
    <row r="58" spans="2:10" hidden="1" x14ac:dyDescent="0.25">
      <c r="B58" t="s">
        <v>207</v>
      </c>
      <c r="C58">
        <v>28</v>
      </c>
      <c r="D58" t="s">
        <v>209</v>
      </c>
      <c r="E58">
        <v>0.47</v>
      </c>
      <c r="F58">
        <v>12.44</v>
      </c>
      <c r="G58">
        <v>263.85000000000002</v>
      </c>
      <c r="H58">
        <v>0</v>
      </c>
      <c r="I58">
        <v>0</v>
      </c>
      <c r="J58">
        <v>0</v>
      </c>
    </row>
    <row r="59" spans="2:10" hidden="1" x14ac:dyDescent="0.25">
      <c r="B59" t="s">
        <v>207</v>
      </c>
      <c r="C59">
        <v>29</v>
      </c>
      <c r="D59" t="s">
        <v>208</v>
      </c>
      <c r="E59">
        <v>-3.32</v>
      </c>
      <c r="F59">
        <v>-2.89</v>
      </c>
      <c r="G59">
        <v>1474.36</v>
      </c>
      <c r="H59">
        <v>0</v>
      </c>
      <c r="I59">
        <v>0</v>
      </c>
      <c r="J59">
        <v>0</v>
      </c>
    </row>
    <row r="60" spans="2:10" hidden="1" x14ac:dyDescent="0.25">
      <c r="B60" t="s">
        <v>207</v>
      </c>
      <c r="C60">
        <v>29</v>
      </c>
      <c r="D60" t="s">
        <v>209</v>
      </c>
      <c r="E60">
        <v>-0.89</v>
      </c>
      <c r="F60">
        <v>12.33</v>
      </c>
      <c r="G60">
        <v>265.24</v>
      </c>
      <c r="H60">
        <v>0</v>
      </c>
      <c r="I60">
        <v>0</v>
      </c>
      <c r="J60">
        <v>0</v>
      </c>
    </row>
    <row r="61" spans="2:10" hidden="1" x14ac:dyDescent="0.25">
      <c r="B61" t="s">
        <v>207</v>
      </c>
      <c r="C61">
        <v>30</v>
      </c>
      <c r="D61" t="s">
        <v>208</v>
      </c>
      <c r="E61">
        <v>18.5</v>
      </c>
      <c r="F61">
        <v>-1.2</v>
      </c>
      <c r="G61">
        <v>1483.8</v>
      </c>
      <c r="H61">
        <v>0</v>
      </c>
      <c r="I61">
        <v>0</v>
      </c>
      <c r="J61">
        <v>0</v>
      </c>
    </row>
    <row r="62" spans="2:10" hidden="1" x14ac:dyDescent="0.25">
      <c r="B62" t="s">
        <v>207</v>
      </c>
      <c r="C62">
        <v>30</v>
      </c>
      <c r="D62" t="s">
        <v>209</v>
      </c>
      <c r="E62">
        <v>5.8</v>
      </c>
      <c r="F62">
        <v>10.01</v>
      </c>
      <c r="G62">
        <v>263.13</v>
      </c>
      <c r="H62">
        <v>0</v>
      </c>
      <c r="I62">
        <v>0</v>
      </c>
      <c r="J62">
        <v>0</v>
      </c>
    </row>
    <row r="63" spans="2:10" hidden="1" x14ac:dyDescent="0.25">
      <c r="B63" t="s">
        <v>207</v>
      </c>
      <c r="C63">
        <v>31</v>
      </c>
      <c r="D63" t="s">
        <v>208</v>
      </c>
      <c r="E63">
        <v>3.02</v>
      </c>
      <c r="F63">
        <v>16.03</v>
      </c>
      <c r="G63">
        <v>1492.58</v>
      </c>
      <c r="H63">
        <v>0</v>
      </c>
      <c r="I63">
        <v>0</v>
      </c>
      <c r="J63">
        <v>0</v>
      </c>
    </row>
    <row r="64" spans="2:10" hidden="1" x14ac:dyDescent="0.25">
      <c r="B64" t="s">
        <v>207</v>
      </c>
      <c r="C64">
        <v>31</v>
      </c>
      <c r="D64" t="s">
        <v>209</v>
      </c>
      <c r="E64">
        <v>1.31</v>
      </c>
      <c r="F64">
        <v>-0.57999999999999996</v>
      </c>
      <c r="G64">
        <v>269.44</v>
      </c>
      <c r="H64">
        <v>0</v>
      </c>
      <c r="I64">
        <v>0</v>
      </c>
      <c r="J64">
        <v>0</v>
      </c>
    </row>
    <row r="65" spans="2:10" hidden="1" x14ac:dyDescent="0.25">
      <c r="B65" t="s">
        <v>207</v>
      </c>
      <c r="C65">
        <v>32</v>
      </c>
      <c r="D65" t="s">
        <v>208</v>
      </c>
      <c r="E65">
        <v>-0.13</v>
      </c>
      <c r="F65">
        <v>18.010000000000002</v>
      </c>
      <c r="G65">
        <v>1483.89</v>
      </c>
      <c r="H65">
        <v>0</v>
      </c>
      <c r="I65">
        <v>0</v>
      </c>
      <c r="J65">
        <v>0</v>
      </c>
    </row>
    <row r="66" spans="2:10" hidden="1" x14ac:dyDescent="0.25">
      <c r="B66" t="s">
        <v>207</v>
      </c>
      <c r="C66">
        <v>32</v>
      </c>
      <c r="D66" t="s">
        <v>209</v>
      </c>
      <c r="E66">
        <v>0.05</v>
      </c>
      <c r="F66">
        <v>-2.59</v>
      </c>
      <c r="G66">
        <v>273.85000000000002</v>
      </c>
      <c r="H66">
        <v>0</v>
      </c>
      <c r="I66">
        <v>0</v>
      </c>
      <c r="J66">
        <v>0</v>
      </c>
    </row>
    <row r="67" spans="2:10" hidden="1" x14ac:dyDescent="0.25">
      <c r="B67" t="s">
        <v>207</v>
      </c>
      <c r="C67">
        <v>33</v>
      </c>
      <c r="D67" t="s">
        <v>208</v>
      </c>
      <c r="E67">
        <v>0.47</v>
      </c>
      <c r="F67">
        <v>14.95</v>
      </c>
      <c r="G67">
        <v>1481.5</v>
      </c>
      <c r="H67">
        <v>0</v>
      </c>
      <c r="I67">
        <v>0</v>
      </c>
      <c r="J67">
        <v>0</v>
      </c>
    </row>
    <row r="68" spans="2:10" hidden="1" x14ac:dyDescent="0.25">
      <c r="B68" t="s">
        <v>207</v>
      </c>
      <c r="C68">
        <v>33</v>
      </c>
      <c r="D68" t="s">
        <v>209</v>
      </c>
      <c r="E68">
        <v>0.3</v>
      </c>
      <c r="F68">
        <v>-2.4700000000000002</v>
      </c>
      <c r="G68">
        <v>276.51</v>
      </c>
      <c r="H68">
        <v>0</v>
      </c>
      <c r="I68">
        <v>0</v>
      </c>
      <c r="J68">
        <v>0</v>
      </c>
    </row>
    <row r="69" spans="2:10" hidden="1" x14ac:dyDescent="0.25">
      <c r="B69" t="s">
        <v>207</v>
      </c>
      <c r="C69">
        <v>34</v>
      </c>
      <c r="D69" t="s">
        <v>208</v>
      </c>
      <c r="E69">
        <v>0.32</v>
      </c>
      <c r="F69">
        <v>8.9499999999999993</v>
      </c>
      <c r="G69">
        <v>1481.16</v>
      </c>
      <c r="H69">
        <v>0</v>
      </c>
      <c r="I69">
        <v>0</v>
      </c>
      <c r="J69">
        <v>0</v>
      </c>
    </row>
    <row r="70" spans="2:10" hidden="1" x14ac:dyDescent="0.25">
      <c r="B70" t="s">
        <v>207</v>
      </c>
      <c r="C70">
        <v>34</v>
      </c>
      <c r="D70" t="s">
        <v>209</v>
      </c>
      <c r="E70">
        <v>0.24</v>
      </c>
      <c r="F70">
        <v>-1.1299999999999999</v>
      </c>
      <c r="G70">
        <v>277.87</v>
      </c>
      <c r="H70">
        <v>0</v>
      </c>
      <c r="I70">
        <v>0</v>
      </c>
      <c r="J70">
        <v>0</v>
      </c>
    </row>
    <row r="71" spans="2:10" hidden="1" x14ac:dyDescent="0.25">
      <c r="B71" t="s">
        <v>207</v>
      </c>
      <c r="C71">
        <v>35</v>
      </c>
      <c r="D71" t="s">
        <v>208</v>
      </c>
      <c r="E71">
        <v>0.35</v>
      </c>
      <c r="F71">
        <v>1.6</v>
      </c>
      <c r="G71">
        <v>1481.28</v>
      </c>
      <c r="H71">
        <v>0</v>
      </c>
      <c r="I71">
        <v>0</v>
      </c>
      <c r="J71">
        <v>0</v>
      </c>
    </row>
    <row r="72" spans="2:10" hidden="1" x14ac:dyDescent="0.25">
      <c r="B72" t="s">
        <v>207</v>
      </c>
      <c r="C72">
        <v>35</v>
      </c>
      <c r="D72" t="s">
        <v>209</v>
      </c>
      <c r="E72">
        <v>0.26</v>
      </c>
      <c r="F72">
        <v>0.79</v>
      </c>
      <c r="G72">
        <v>278.64999999999998</v>
      </c>
      <c r="H72">
        <v>0</v>
      </c>
      <c r="I72">
        <v>0</v>
      </c>
      <c r="J72">
        <v>0</v>
      </c>
    </row>
    <row r="73" spans="2:10" hidden="1" x14ac:dyDescent="0.25">
      <c r="B73" t="s">
        <v>207</v>
      </c>
      <c r="C73">
        <v>36</v>
      </c>
      <c r="D73" t="s">
        <v>208</v>
      </c>
      <c r="E73">
        <v>0.31</v>
      </c>
      <c r="F73">
        <v>-5.77</v>
      </c>
      <c r="G73">
        <v>1481.32</v>
      </c>
      <c r="H73">
        <v>0</v>
      </c>
      <c r="I73">
        <v>0</v>
      </c>
      <c r="J73">
        <v>0</v>
      </c>
    </row>
    <row r="74" spans="2:10" hidden="1" x14ac:dyDescent="0.25">
      <c r="B74" t="s">
        <v>207</v>
      </c>
      <c r="C74">
        <v>36</v>
      </c>
      <c r="D74" t="s">
        <v>209</v>
      </c>
      <c r="E74">
        <v>0.24</v>
      </c>
      <c r="F74">
        <v>2.75</v>
      </c>
      <c r="G74">
        <v>279.08999999999997</v>
      </c>
      <c r="H74">
        <v>0</v>
      </c>
      <c r="I74">
        <v>0</v>
      </c>
      <c r="J74">
        <v>0</v>
      </c>
    </row>
    <row r="75" spans="2:10" hidden="1" x14ac:dyDescent="0.25">
      <c r="B75" t="s">
        <v>207</v>
      </c>
      <c r="C75">
        <v>37</v>
      </c>
      <c r="D75" t="s">
        <v>208</v>
      </c>
      <c r="E75">
        <v>0.54</v>
      </c>
      <c r="F75">
        <v>-11.83</v>
      </c>
      <c r="G75">
        <v>1481.79</v>
      </c>
      <c r="H75">
        <v>0</v>
      </c>
      <c r="I75">
        <v>0</v>
      </c>
      <c r="J75">
        <v>0</v>
      </c>
    </row>
    <row r="76" spans="2:10" hidden="1" x14ac:dyDescent="0.25">
      <c r="B76" t="s">
        <v>207</v>
      </c>
      <c r="C76">
        <v>37</v>
      </c>
      <c r="D76" t="s">
        <v>209</v>
      </c>
      <c r="E76">
        <v>0.32</v>
      </c>
      <c r="F76">
        <v>4.22</v>
      </c>
      <c r="G76">
        <v>279.02999999999997</v>
      </c>
      <c r="H76">
        <v>0</v>
      </c>
      <c r="I76">
        <v>0</v>
      </c>
      <c r="J76">
        <v>0</v>
      </c>
    </row>
    <row r="77" spans="2:10" hidden="1" x14ac:dyDescent="0.25">
      <c r="B77" t="s">
        <v>207</v>
      </c>
      <c r="C77">
        <v>38</v>
      </c>
      <c r="D77" t="s">
        <v>208</v>
      </c>
      <c r="E77">
        <v>-0.45</v>
      </c>
      <c r="F77">
        <v>-14.98</v>
      </c>
      <c r="G77">
        <v>1484.28</v>
      </c>
      <c r="H77">
        <v>0</v>
      </c>
      <c r="I77">
        <v>0</v>
      </c>
      <c r="J77">
        <v>0</v>
      </c>
    </row>
    <row r="78" spans="2:10" hidden="1" x14ac:dyDescent="0.25">
      <c r="B78" t="s">
        <v>207</v>
      </c>
      <c r="C78">
        <v>38</v>
      </c>
      <c r="D78" t="s">
        <v>209</v>
      </c>
      <c r="E78">
        <v>-0.03</v>
      </c>
      <c r="F78">
        <v>4.5999999999999996</v>
      </c>
      <c r="G78">
        <v>277.82</v>
      </c>
      <c r="H78">
        <v>0</v>
      </c>
      <c r="I78">
        <v>0</v>
      </c>
      <c r="J78">
        <v>0</v>
      </c>
    </row>
    <row r="79" spans="2:10" hidden="1" x14ac:dyDescent="0.25">
      <c r="B79" t="s">
        <v>207</v>
      </c>
      <c r="C79">
        <v>39</v>
      </c>
      <c r="D79" t="s">
        <v>208</v>
      </c>
      <c r="E79">
        <v>4.63</v>
      </c>
      <c r="F79">
        <v>-13.14</v>
      </c>
      <c r="G79">
        <v>1492.09</v>
      </c>
      <c r="H79">
        <v>0</v>
      </c>
      <c r="I79">
        <v>0</v>
      </c>
      <c r="J79">
        <v>0</v>
      </c>
    </row>
    <row r="80" spans="2:10" hidden="1" x14ac:dyDescent="0.25">
      <c r="B80" t="s">
        <v>207</v>
      </c>
      <c r="C80">
        <v>39</v>
      </c>
      <c r="D80" t="s">
        <v>209</v>
      </c>
      <c r="E80">
        <v>1.7</v>
      </c>
      <c r="F80">
        <v>3.01</v>
      </c>
      <c r="G80">
        <v>274.68</v>
      </c>
      <c r="H80">
        <v>0</v>
      </c>
      <c r="I80">
        <v>0</v>
      </c>
      <c r="J80">
        <v>0</v>
      </c>
    </row>
    <row r="81" spans="2:10" hidden="1" x14ac:dyDescent="0.25">
      <c r="B81" t="s">
        <v>207</v>
      </c>
      <c r="C81">
        <v>40</v>
      </c>
      <c r="D81" t="s">
        <v>208</v>
      </c>
      <c r="E81">
        <v>5.1100000000000003</v>
      </c>
      <c r="F81">
        <v>4</v>
      </c>
      <c r="G81">
        <v>1485.56</v>
      </c>
      <c r="H81">
        <v>0</v>
      </c>
      <c r="I81">
        <v>0</v>
      </c>
      <c r="J81">
        <v>0</v>
      </c>
    </row>
    <row r="82" spans="2:10" hidden="1" x14ac:dyDescent="0.25">
      <c r="B82" t="s">
        <v>207</v>
      </c>
      <c r="C82">
        <v>40</v>
      </c>
      <c r="D82" t="s">
        <v>209</v>
      </c>
      <c r="E82">
        <v>2.2400000000000002</v>
      </c>
      <c r="F82">
        <v>-6.1</v>
      </c>
      <c r="G82">
        <v>272.85000000000002</v>
      </c>
      <c r="H82">
        <v>0</v>
      </c>
      <c r="I82">
        <v>0</v>
      </c>
      <c r="J82">
        <v>0</v>
      </c>
    </row>
    <row r="83" spans="2:10" hidden="1" x14ac:dyDescent="0.25">
      <c r="B83" t="s">
        <v>207</v>
      </c>
      <c r="C83">
        <v>41</v>
      </c>
      <c r="D83" t="s">
        <v>208</v>
      </c>
      <c r="E83">
        <v>-0.55000000000000004</v>
      </c>
      <c r="F83">
        <v>5.46</v>
      </c>
      <c r="G83">
        <v>1474.55</v>
      </c>
      <c r="H83">
        <v>0</v>
      </c>
      <c r="I83">
        <v>0</v>
      </c>
      <c r="J83">
        <v>0</v>
      </c>
    </row>
    <row r="84" spans="2:10" hidden="1" x14ac:dyDescent="0.25">
      <c r="B84" t="s">
        <v>207</v>
      </c>
      <c r="C84">
        <v>41</v>
      </c>
      <c r="D84" t="s">
        <v>209</v>
      </c>
      <c r="E84">
        <v>-0.14000000000000001</v>
      </c>
      <c r="F84">
        <v>-7.84</v>
      </c>
      <c r="G84">
        <v>276.06</v>
      </c>
      <c r="H84">
        <v>0</v>
      </c>
      <c r="I84">
        <v>0</v>
      </c>
      <c r="J84">
        <v>0</v>
      </c>
    </row>
    <row r="85" spans="2:10" hidden="1" x14ac:dyDescent="0.25">
      <c r="B85" t="s">
        <v>207</v>
      </c>
      <c r="C85">
        <v>42</v>
      </c>
      <c r="D85" t="s">
        <v>208</v>
      </c>
      <c r="E85">
        <v>0.56000000000000005</v>
      </c>
      <c r="F85">
        <v>1.9</v>
      </c>
      <c r="G85">
        <v>1467.28</v>
      </c>
      <c r="H85">
        <v>0</v>
      </c>
      <c r="I85">
        <v>0</v>
      </c>
      <c r="J85">
        <v>0</v>
      </c>
    </row>
    <row r="86" spans="2:10" hidden="1" x14ac:dyDescent="0.25">
      <c r="B86" t="s">
        <v>207</v>
      </c>
      <c r="C86">
        <v>42</v>
      </c>
      <c r="D86" t="s">
        <v>209</v>
      </c>
      <c r="E86">
        <v>0.34</v>
      </c>
      <c r="F86">
        <v>-7.6</v>
      </c>
      <c r="G86">
        <v>276.49</v>
      </c>
      <c r="H86">
        <v>0</v>
      </c>
      <c r="I86">
        <v>0</v>
      </c>
      <c r="J86">
        <v>0</v>
      </c>
    </row>
    <row r="87" spans="2:10" hidden="1" x14ac:dyDescent="0.25">
      <c r="B87" t="s">
        <v>207</v>
      </c>
      <c r="C87">
        <v>43</v>
      </c>
      <c r="D87" t="s">
        <v>208</v>
      </c>
      <c r="E87">
        <v>0.3</v>
      </c>
      <c r="F87">
        <v>-4.6399999999999997</v>
      </c>
      <c r="G87">
        <v>1461.76</v>
      </c>
      <c r="H87">
        <v>0</v>
      </c>
      <c r="I87">
        <v>0</v>
      </c>
      <c r="J87">
        <v>0</v>
      </c>
    </row>
    <row r="88" spans="2:10" hidden="1" x14ac:dyDescent="0.25">
      <c r="B88" t="s">
        <v>207</v>
      </c>
      <c r="C88">
        <v>43</v>
      </c>
      <c r="D88" t="s">
        <v>209</v>
      </c>
      <c r="E88">
        <v>0.23</v>
      </c>
      <c r="F88">
        <v>-6.24</v>
      </c>
      <c r="G88">
        <v>275.68</v>
      </c>
      <c r="H88">
        <v>0</v>
      </c>
      <c r="I88">
        <v>0</v>
      </c>
      <c r="J88">
        <v>0</v>
      </c>
    </row>
    <row r="89" spans="2:10" hidden="1" x14ac:dyDescent="0.25">
      <c r="B89" t="s">
        <v>207</v>
      </c>
      <c r="C89">
        <v>44</v>
      </c>
      <c r="D89" t="s">
        <v>208</v>
      </c>
      <c r="E89">
        <v>0.35</v>
      </c>
      <c r="F89">
        <v>-12.63</v>
      </c>
      <c r="G89">
        <v>1456.33</v>
      </c>
      <c r="H89">
        <v>0</v>
      </c>
      <c r="I89">
        <v>0</v>
      </c>
      <c r="J89">
        <v>0</v>
      </c>
    </row>
    <row r="90" spans="2:10" hidden="1" x14ac:dyDescent="0.25">
      <c r="B90" t="s">
        <v>207</v>
      </c>
      <c r="C90">
        <v>44</v>
      </c>
      <c r="D90" t="s">
        <v>209</v>
      </c>
      <c r="E90">
        <v>0.25</v>
      </c>
      <c r="F90">
        <v>-4.41</v>
      </c>
      <c r="G90">
        <v>274.27999999999997</v>
      </c>
      <c r="H90">
        <v>0</v>
      </c>
      <c r="I90">
        <v>0</v>
      </c>
      <c r="J90">
        <v>0</v>
      </c>
    </row>
    <row r="91" spans="2:10" hidden="1" x14ac:dyDescent="0.25">
      <c r="B91" t="s">
        <v>207</v>
      </c>
      <c r="C91">
        <v>45</v>
      </c>
      <c r="D91" t="s">
        <v>208</v>
      </c>
      <c r="E91">
        <v>0.32</v>
      </c>
      <c r="F91">
        <v>-20.81</v>
      </c>
      <c r="G91">
        <v>1450.38</v>
      </c>
      <c r="H91">
        <v>0</v>
      </c>
      <c r="I91">
        <v>0</v>
      </c>
      <c r="J91">
        <v>0</v>
      </c>
    </row>
    <row r="92" spans="2:10" hidden="1" x14ac:dyDescent="0.25">
      <c r="B92" t="s">
        <v>207</v>
      </c>
      <c r="C92">
        <v>45</v>
      </c>
      <c r="D92" t="s">
        <v>209</v>
      </c>
      <c r="E92">
        <v>0.24</v>
      </c>
      <c r="F92">
        <v>-2.66</v>
      </c>
      <c r="G92">
        <v>272.45</v>
      </c>
      <c r="H92">
        <v>0</v>
      </c>
      <c r="I92">
        <v>0</v>
      </c>
      <c r="J92">
        <v>0</v>
      </c>
    </row>
    <row r="93" spans="2:10" hidden="1" x14ac:dyDescent="0.25">
      <c r="B93" t="s">
        <v>207</v>
      </c>
      <c r="C93">
        <v>46</v>
      </c>
      <c r="D93" t="s">
        <v>208</v>
      </c>
      <c r="E93">
        <v>0.45</v>
      </c>
      <c r="F93">
        <v>-27.94</v>
      </c>
      <c r="G93">
        <v>1444.25</v>
      </c>
      <c r="H93">
        <v>0</v>
      </c>
      <c r="I93">
        <v>0</v>
      </c>
      <c r="J93">
        <v>0</v>
      </c>
    </row>
    <row r="94" spans="2:10" hidden="1" x14ac:dyDescent="0.25">
      <c r="B94" t="s">
        <v>207</v>
      </c>
      <c r="C94">
        <v>46</v>
      </c>
      <c r="D94" t="s">
        <v>209</v>
      </c>
      <c r="E94">
        <v>0.27</v>
      </c>
      <c r="F94">
        <v>-1.54</v>
      </c>
      <c r="G94">
        <v>269.92</v>
      </c>
      <c r="H94">
        <v>0</v>
      </c>
      <c r="I94">
        <v>0</v>
      </c>
      <c r="J94">
        <v>0</v>
      </c>
    </row>
    <row r="95" spans="2:10" hidden="1" x14ac:dyDescent="0.25">
      <c r="B95" t="s">
        <v>207</v>
      </c>
      <c r="C95">
        <v>47</v>
      </c>
      <c r="D95" t="s">
        <v>208</v>
      </c>
      <c r="E95">
        <v>-0.03</v>
      </c>
      <c r="F95">
        <v>-32.590000000000003</v>
      </c>
      <c r="G95">
        <v>1439.25</v>
      </c>
      <c r="H95">
        <v>0</v>
      </c>
      <c r="I95">
        <v>0</v>
      </c>
      <c r="J95">
        <v>0</v>
      </c>
    </row>
    <row r="96" spans="2:10" hidden="1" x14ac:dyDescent="0.25">
      <c r="B96" t="s">
        <v>207</v>
      </c>
      <c r="C96">
        <v>47</v>
      </c>
      <c r="D96" t="s">
        <v>209</v>
      </c>
      <c r="E96">
        <v>0.16</v>
      </c>
      <c r="F96">
        <v>-1.72</v>
      </c>
      <c r="G96">
        <v>265.91000000000003</v>
      </c>
      <c r="H96">
        <v>0</v>
      </c>
      <c r="I96">
        <v>0</v>
      </c>
      <c r="J96">
        <v>0</v>
      </c>
    </row>
    <row r="97" spans="2:10" hidden="1" x14ac:dyDescent="0.25">
      <c r="B97" t="s">
        <v>207</v>
      </c>
      <c r="C97">
        <v>48</v>
      </c>
      <c r="D97" t="s">
        <v>208</v>
      </c>
      <c r="E97">
        <v>2.5099999999999998</v>
      </c>
      <c r="F97">
        <v>-32.89</v>
      </c>
      <c r="G97">
        <v>1442.79</v>
      </c>
      <c r="H97">
        <v>0</v>
      </c>
      <c r="I97">
        <v>0</v>
      </c>
      <c r="J97">
        <v>0</v>
      </c>
    </row>
    <row r="98" spans="2:10" hidden="1" x14ac:dyDescent="0.25">
      <c r="B98" t="s">
        <v>207</v>
      </c>
      <c r="C98">
        <v>48</v>
      </c>
      <c r="D98" t="s">
        <v>209</v>
      </c>
      <c r="E98">
        <v>0.74</v>
      </c>
      <c r="F98">
        <v>-4.1500000000000004</v>
      </c>
      <c r="G98">
        <v>261.14</v>
      </c>
      <c r="H98">
        <v>0</v>
      </c>
      <c r="I98">
        <v>0</v>
      </c>
      <c r="J98">
        <v>0</v>
      </c>
    </row>
    <row r="99" spans="2:10" hidden="1" x14ac:dyDescent="0.25">
      <c r="B99" t="s">
        <v>207</v>
      </c>
      <c r="C99">
        <v>49</v>
      </c>
      <c r="D99" t="s">
        <v>208</v>
      </c>
      <c r="E99">
        <v>22.54</v>
      </c>
      <c r="F99">
        <v>-24.13</v>
      </c>
      <c r="G99">
        <v>1405.09</v>
      </c>
      <c r="H99">
        <v>0</v>
      </c>
      <c r="I99">
        <v>0</v>
      </c>
      <c r="J99">
        <v>0</v>
      </c>
    </row>
    <row r="100" spans="2:10" hidden="1" x14ac:dyDescent="0.25">
      <c r="B100" t="s">
        <v>207</v>
      </c>
      <c r="C100">
        <v>49</v>
      </c>
      <c r="D100" t="s">
        <v>209</v>
      </c>
      <c r="E100">
        <v>11.19</v>
      </c>
      <c r="F100">
        <v>-16.510000000000002</v>
      </c>
      <c r="G100">
        <v>247.98</v>
      </c>
      <c r="H100">
        <v>0</v>
      </c>
      <c r="I100">
        <v>0</v>
      </c>
      <c r="J100">
        <v>0</v>
      </c>
    </row>
    <row r="101" spans="2:10" hidden="1" x14ac:dyDescent="0.25">
      <c r="B101" t="s">
        <v>207</v>
      </c>
      <c r="C101">
        <v>50</v>
      </c>
      <c r="D101" t="s">
        <v>208</v>
      </c>
      <c r="E101">
        <v>-4.17</v>
      </c>
      <c r="F101">
        <v>-26.62</v>
      </c>
      <c r="G101">
        <v>1389.69</v>
      </c>
      <c r="H101">
        <v>0</v>
      </c>
      <c r="I101">
        <v>0</v>
      </c>
      <c r="J101">
        <v>0</v>
      </c>
    </row>
    <row r="102" spans="2:10" hidden="1" x14ac:dyDescent="0.25">
      <c r="B102" t="s">
        <v>207</v>
      </c>
      <c r="C102">
        <v>50</v>
      </c>
      <c r="D102" t="s">
        <v>209</v>
      </c>
      <c r="E102">
        <v>-2.02</v>
      </c>
      <c r="F102">
        <v>-19.670000000000002</v>
      </c>
      <c r="G102">
        <v>249.8</v>
      </c>
      <c r="H102">
        <v>0</v>
      </c>
      <c r="I102">
        <v>0</v>
      </c>
      <c r="J102">
        <v>0</v>
      </c>
    </row>
    <row r="103" spans="2:10" hidden="1" x14ac:dyDescent="0.25">
      <c r="B103" t="s">
        <v>207</v>
      </c>
      <c r="C103">
        <v>51</v>
      </c>
      <c r="D103" t="s">
        <v>208</v>
      </c>
      <c r="E103">
        <v>1.25</v>
      </c>
      <c r="F103">
        <v>-33.19</v>
      </c>
      <c r="G103">
        <v>1371.1</v>
      </c>
      <c r="H103">
        <v>0</v>
      </c>
      <c r="I103">
        <v>0</v>
      </c>
      <c r="J103">
        <v>0</v>
      </c>
    </row>
    <row r="104" spans="2:10" hidden="1" x14ac:dyDescent="0.25">
      <c r="B104" t="s">
        <v>207</v>
      </c>
      <c r="C104">
        <v>51</v>
      </c>
      <c r="D104" t="s">
        <v>209</v>
      </c>
      <c r="E104">
        <v>0.68</v>
      </c>
      <c r="F104">
        <v>-20.350000000000001</v>
      </c>
      <c r="G104">
        <v>246.47</v>
      </c>
      <c r="H104">
        <v>0</v>
      </c>
      <c r="I104">
        <v>0</v>
      </c>
      <c r="J104">
        <v>0</v>
      </c>
    </row>
    <row r="105" spans="2:10" hidden="1" x14ac:dyDescent="0.25">
      <c r="B105" t="s">
        <v>207</v>
      </c>
      <c r="C105">
        <v>52</v>
      </c>
      <c r="D105" t="s">
        <v>208</v>
      </c>
      <c r="E105">
        <v>0.11</v>
      </c>
      <c r="F105">
        <v>-42.27</v>
      </c>
      <c r="G105">
        <v>1352.36</v>
      </c>
      <c r="H105">
        <v>0</v>
      </c>
      <c r="I105">
        <v>0</v>
      </c>
      <c r="J105">
        <v>0</v>
      </c>
    </row>
    <row r="106" spans="2:10" hidden="1" x14ac:dyDescent="0.25">
      <c r="B106" t="s">
        <v>207</v>
      </c>
      <c r="C106">
        <v>52</v>
      </c>
      <c r="D106" t="s">
        <v>209</v>
      </c>
      <c r="E106">
        <v>0.11</v>
      </c>
      <c r="F106">
        <v>-19.510000000000002</v>
      </c>
      <c r="G106">
        <v>241.55</v>
      </c>
      <c r="H106">
        <v>0</v>
      </c>
      <c r="I106">
        <v>0</v>
      </c>
      <c r="J106">
        <v>0</v>
      </c>
    </row>
    <row r="107" spans="2:10" hidden="1" x14ac:dyDescent="0.25">
      <c r="B107" t="s">
        <v>207</v>
      </c>
      <c r="C107">
        <v>53</v>
      </c>
      <c r="D107" t="s">
        <v>208</v>
      </c>
      <c r="E107">
        <v>0.28000000000000003</v>
      </c>
      <c r="F107">
        <v>-52.69</v>
      </c>
      <c r="G107">
        <v>1332.14</v>
      </c>
      <c r="H107">
        <v>0</v>
      </c>
      <c r="I107">
        <v>0</v>
      </c>
      <c r="J107">
        <v>0</v>
      </c>
    </row>
    <row r="108" spans="2:10" hidden="1" x14ac:dyDescent="0.25">
      <c r="B108" t="s">
        <v>207</v>
      </c>
      <c r="C108">
        <v>53</v>
      </c>
      <c r="D108" t="s">
        <v>209</v>
      </c>
      <c r="E108">
        <v>0.19</v>
      </c>
      <c r="F108">
        <v>-17.79</v>
      </c>
      <c r="G108">
        <v>236.04</v>
      </c>
      <c r="H108">
        <v>0</v>
      </c>
      <c r="I108">
        <v>0</v>
      </c>
      <c r="J108">
        <v>0</v>
      </c>
    </row>
    <row r="109" spans="2:10" hidden="1" x14ac:dyDescent="0.25">
      <c r="B109" t="s">
        <v>207</v>
      </c>
      <c r="C109">
        <v>54</v>
      </c>
      <c r="D109" t="s">
        <v>208</v>
      </c>
      <c r="E109">
        <v>0.4</v>
      </c>
      <c r="F109">
        <v>-63.43</v>
      </c>
      <c r="G109">
        <v>1310.01</v>
      </c>
      <c r="H109">
        <v>0</v>
      </c>
      <c r="I109">
        <v>0</v>
      </c>
      <c r="J109">
        <v>0</v>
      </c>
    </row>
    <row r="110" spans="2:10" hidden="1" x14ac:dyDescent="0.25">
      <c r="B110" t="s">
        <v>207</v>
      </c>
      <c r="C110">
        <v>54</v>
      </c>
      <c r="D110" t="s">
        <v>209</v>
      </c>
      <c r="E110">
        <v>0.25</v>
      </c>
      <c r="F110">
        <v>-15.62</v>
      </c>
      <c r="G110">
        <v>230.53</v>
      </c>
      <c r="H110">
        <v>0</v>
      </c>
      <c r="I110">
        <v>0</v>
      </c>
      <c r="J110">
        <v>0</v>
      </c>
    </row>
    <row r="111" spans="2:10" hidden="1" x14ac:dyDescent="0.25">
      <c r="B111" t="s">
        <v>207</v>
      </c>
      <c r="C111">
        <v>55</v>
      </c>
      <c r="D111" t="s">
        <v>208</v>
      </c>
      <c r="E111">
        <v>-0.44</v>
      </c>
      <c r="F111">
        <v>-73.430000000000007</v>
      </c>
      <c r="G111">
        <v>1286.48</v>
      </c>
      <c r="H111">
        <v>0</v>
      </c>
      <c r="I111">
        <v>0</v>
      </c>
      <c r="J111">
        <v>0</v>
      </c>
    </row>
    <row r="112" spans="2:10" hidden="1" x14ac:dyDescent="0.25">
      <c r="B112" t="s">
        <v>207</v>
      </c>
      <c r="C112">
        <v>55</v>
      </c>
      <c r="D112" t="s">
        <v>209</v>
      </c>
      <c r="E112">
        <v>-0.21</v>
      </c>
      <c r="F112">
        <v>-13.29</v>
      </c>
      <c r="G112">
        <v>225.34</v>
      </c>
      <c r="H112">
        <v>0</v>
      </c>
      <c r="I112">
        <v>0</v>
      </c>
      <c r="J112">
        <v>0</v>
      </c>
    </row>
    <row r="113" spans="2:10" hidden="1" x14ac:dyDescent="0.25">
      <c r="B113" t="s">
        <v>207</v>
      </c>
      <c r="C113">
        <v>56</v>
      </c>
      <c r="D113" t="s">
        <v>208</v>
      </c>
      <c r="E113">
        <v>3.7</v>
      </c>
      <c r="F113">
        <v>-81.22</v>
      </c>
      <c r="G113">
        <v>1263.1400000000001</v>
      </c>
      <c r="H113">
        <v>0</v>
      </c>
      <c r="I113">
        <v>0</v>
      </c>
      <c r="J113">
        <v>0</v>
      </c>
    </row>
    <row r="114" spans="2:10" hidden="1" x14ac:dyDescent="0.25">
      <c r="B114" t="s">
        <v>207</v>
      </c>
      <c r="C114">
        <v>56</v>
      </c>
      <c r="D114" t="s">
        <v>209</v>
      </c>
      <c r="E114">
        <v>2.0299999999999998</v>
      </c>
      <c r="F114">
        <v>-11.05</v>
      </c>
      <c r="G114">
        <v>220.52</v>
      </c>
      <c r="H114">
        <v>0</v>
      </c>
      <c r="I114">
        <v>0</v>
      </c>
      <c r="J114">
        <v>0</v>
      </c>
    </row>
    <row r="115" spans="2:10" hidden="1" x14ac:dyDescent="0.25">
      <c r="B115" t="s">
        <v>207</v>
      </c>
      <c r="C115">
        <v>57</v>
      </c>
      <c r="D115" t="s">
        <v>208</v>
      </c>
      <c r="E115">
        <v>-16.38</v>
      </c>
      <c r="F115">
        <v>-84.67</v>
      </c>
      <c r="G115">
        <v>1258.8</v>
      </c>
      <c r="H115">
        <v>0</v>
      </c>
      <c r="I115">
        <v>0</v>
      </c>
      <c r="J115">
        <v>0</v>
      </c>
    </row>
    <row r="116" spans="2:10" hidden="1" x14ac:dyDescent="0.25">
      <c r="B116" t="s">
        <v>207</v>
      </c>
      <c r="C116">
        <v>57</v>
      </c>
      <c r="D116" t="s">
        <v>209</v>
      </c>
      <c r="E116">
        <v>-8.91</v>
      </c>
      <c r="F116">
        <v>-9.1300000000000008</v>
      </c>
      <c r="G116">
        <v>217.59</v>
      </c>
      <c r="H116">
        <v>0</v>
      </c>
      <c r="I116">
        <v>0</v>
      </c>
      <c r="J116">
        <v>0</v>
      </c>
    </row>
    <row r="117" spans="2:10" hidden="1" x14ac:dyDescent="0.25">
      <c r="B117" t="s">
        <v>207</v>
      </c>
      <c r="C117">
        <v>58</v>
      </c>
      <c r="D117" t="s">
        <v>208</v>
      </c>
      <c r="E117">
        <v>12.52</v>
      </c>
      <c r="F117">
        <v>77.02</v>
      </c>
      <c r="G117">
        <v>1285.74</v>
      </c>
      <c r="H117">
        <v>0</v>
      </c>
      <c r="I117">
        <v>0</v>
      </c>
      <c r="J117">
        <v>0</v>
      </c>
    </row>
    <row r="118" spans="2:10" hidden="1" x14ac:dyDescent="0.25">
      <c r="B118" t="s">
        <v>207</v>
      </c>
      <c r="C118">
        <v>58</v>
      </c>
      <c r="D118" t="s">
        <v>209</v>
      </c>
      <c r="E118">
        <v>6.55</v>
      </c>
      <c r="F118">
        <v>6.41</v>
      </c>
      <c r="G118">
        <v>194.37</v>
      </c>
      <c r="H118">
        <v>0</v>
      </c>
      <c r="I118">
        <v>0</v>
      </c>
      <c r="J118">
        <v>0</v>
      </c>
    </row>
    <row r="119" spans="2:10" hidden="1" x14ac:dyDescent="0.25">
      <c r="B119" t="s">
        <v>207</v>
      </c>
      <c r="C119">
        <v>59</v>
      </c>
      <c r="D119" t="s">
        <v>208</v>
      </c>
      <c r="E119">
        <v>-2.88</v>
      </c>
      <c r="F119">
        <v>72.84</v>
      </c>
      <c r="G119">
        <v>1289.82</v>
      </c>
      <c r="H119">
        <v>0</v>
      </c>
      <c r="I119">
        <v>0</v>
      </c>
      <c r="J119">
        <v>0</v>
      </c>
    </row>
    <row r="120" spans="2:10" hidden="1" x14ac:dyDescent="0.25">
      <c r="B120" t="s">
        <v>207</v>
      </c>
      <c r="C120">
        <v>59</v>
      </c>
      <c r="D120" t="s">
        <v>209</v>
      </c>
      <c r="E120">
        <v>-1.51</v>
      </c>
      <c r="F120">
        <v>7.99</v>
      </c>
      <c r="G120">
        <v>197.55</v>
      </c>
      <c r="H120">
        <v>0</v>
      </c>
      <c r="I120">
        <v>0</v>
      </c>
      <c r="J120">
        <v>0</v>
      </c>
    </row>
    <row r="121" spans="2:10" hidden="1" x14ac:dyDescent="0.25">
      <c r="B121" t="s">
        <v>207</v>
      </c>
      <c r="C121">
        <v>60</v>
      </c>
      <c r="D121" t="s">
        <v>208</v>
      </c>
      <c r="E121">
        <v>0.28999999999999998</v>
      </c>
      <c r="F121">
        <v>65.510000000000005</v>
      </c>
      <c r="G121">
        <v>1311.01</v>
      </c>
      <c r="H121">
        <v>0</v>
      </c>
      <c r="I121">
        <v>0</v>
      </c>
      <c r="J121">
        <v>0</v>
      </c>
    </row>
    <row r="122" spans="2:10" hidden="1" x14ac:dyDescent="0.25">
      <c r="B122" t="s">
        <v>207</v>
      </c>
      <c r="C122">
        <v>60</v>
      </c>
      <c r="D122" t="s">
        <v>209</v>
      </c>
      <c r="E122">
        <v>0.14000000000000001</v>
      </c>
      <c r="F122">
        <v>10.02</v>
      </c>
      <c r="G122">
        <v>201.82</v>
      </c>
      <c r="H122">
        <v>0</v>
      </c>
      <c r="I122">
        <v>0</v>
      </c>
      <c r="J122">
        <v>0</v>
      </c>
    </row>
    <row r="123" spans="2:10" hidden="1" x14ac:dyDescent="0.25">
      <c r="B123" t="s">
        <v>207</v>
      </c>
      <c r="C123">
        <v>61</v>
      </c>
      <c r="D123" t="s">
        <v>208</v>
      </c>
      <c r="E123">
        <v>-0.36</v>
      </c>
      <c r="F123">
        <v>56.69</v>
      </c>
      <c r="G123">
        <v>1331.88</v>
      </c>
      <c r="H123">
        <v>0</v>
      </c>
      <c r="I123">
        <v>0</v>
      </c>
      <c r="J123">
        <v>0</v>
      </c>
    </row>
    <row r="124" spans="2:10" hidden="1" x14ac:dyDescent="0.25">
      <c r="B124" t="s">
        <v>207</v>
      </c>
      <c r="C124">
        <v>61</v>
      </c>
      <c r="D124" t="s">
        <v>209</v>
      </c>
      <c r="E124">
        <v>-0.2</v>
      </c>
      <c r="F124">
        <v>12.23</v>
      </c>
      <c r="G124">
        <v>206.41</v>
      </c>
      <c r="H124">
        <v>0</v>
      </c>
      <c r="I124">
        <v>0</v>
      </c>
      <c r="J124">
        <v>0</v>
      </c>
    </row>
    <row r="125" spans="2:10" hidden="1" x14ac:dyDescent="0.25">
      <c r="B125" t="s">
        <v>207</v>
      </c>
      <c r="C125">
        <v>62</v>
      </c>
      <c r="D125" t="s">
        <v>208</v>
      </c>
      <c r="E125">
        <v>-0.27</v>
      </c>
      <c r="F125">
        <v>47.49</v>
      </c>
      <c r="G125">
        <v>1351.28</v>
      </c>
      <c r="H125">
        <v>0</v>
      </c>
      <c r="I125">
        <v>0</v>
      </c>
      <c r="J125">
        <v>0</v>
      </c>
    </row>
    <row r="126" spans="2:10" hidden="1" x14ac:dyDescent="0.25">
      <c r="B126" t="s">
        <v>207</v>
      </c>
      <c r="C126">
        <v>62</v>
      </c>
      <c r="D126" t="s">
        <v>209</v>
      </c>
      <c r="E126">
        <v>-0.16</v>
      </c>
      <c r="F126">
        <v>14.4</v>
      </c>
      <c r="G126">
        <v>211.34</v>
      </c>
      <c r="H126">
        <v>0</v>
      </c>
      <c r="I126">
        <v>0</v>
      </c>
      <c r="J126">
        <v>0</v>
      </c>
    </row>
    <row r="127" spans="2:10" hidden="1" x14ac:dyDescent="0.25">
      <c r="B127" t="s">
        <v>207</v>
      </c>
      <c r="C127">
        <v>63</v>
      </c>
      <c r="D127" t="s">
        <v>208</v>
      </c>
      <c r="E127">
        <v>-0.14000000000000001</v>
      </c>
      <c r="F127">
        <v>38.75</v>
      </c>
      <c r="G127">
        <v>1368.91</v>
      </c>
      <c r="H127">
        <v>0</v>
      </c>
      <c r="I127">
        <v>0</v>
      </c>
      <c r="J127">
        <v>0</v>
      </c>
    </row>
    <row r="128" spans="2:10" hidden="1" x14ac:dyDescent="0.25">
      <c r="B128" t="s">
        <v>207</v>
      </c>
      <c r="C128">
        <v>63</v>
      </c>
      <c r="D128" t="s">
        <v>209</v>
      </c>
      <c r="E128">
        <v>-0.09</v>
      </c>
      <c r="F128">
        <v>16.260000000000002</v>
      </c>
      <c r="G128">
        <v>216.42</v>
      </c>
      <c r="H128">
        <v>0</v>
      </c>
      <c r="I128">
        <v>0</v>
      </c>
      <c r="J128">
        <v>0</v>
      </c>
    </row>
    <row r="129" spans="2:10" hidden="1" x14ac:dyDescent="0.25">
      <c r="B129" t="s">
        <v>207</v>
      </c>
      <c r="C129">
        <v>64</v>
      </c>
      <c r="D129" t="s">
        <v>208</v>
      </c>
      <c r="E129">
        <v>-0.99</v>
      </c>
      <c r="F129">
        <v>31.25</v>
      </c>
      <c r="G129">
        <v>1385.19</v>
      </c>
      <c r="H129">
        <v>0</v>
      </c>
      <c r="I129">
        <v>0</v>
      </c>
      <c r="J129">
        <v>0</v>
      </c>
    </row>
    <row r="130" spans="2:10" hidden="1" x14ac:dyDescent="0.25">
      <c r="B130" t="s">
        <v>207</v>
      </c>
      <c r="C130">
        <v>64</v>
      </c>
      <c r="D130" t="s">
        <v>209</v>
      </c>
      <c r="E130">
        <v>-0.52</v>
      </c>
      <c r="F130">
        <v>17.48</v>
      </c>
      <c r="G130">
        <v>221.22</v>
      </c>
      <c r="H130">
        <v>0</v>
      </c>
      <c r="I130">
        <v>0</v>
      </c>
      <c r="J130">
        <v>0</v>
      </c>
    </row>
    <row r="131" spans="2:10" hidden="1" x14ac:dyDescent="0.25">
      <c r="B131" t="s">
        <v>207</v>
      </c>
      <c r="C131">
        <v>65</v>
      </c>
      <c r="D131" t="s">
        <v>208</v>
      </c>
      <c r="E131">
        <v>3.04</v>
      </c>
      <c r="F131">
        <v>25.93</v>
      </c>
      <c r="G131">
        <v>1401.3</v>
      </c>
      <c r="H131">
        <v>0</v>
      </c>
      <c r="I131">
        <v>0</v>
      </c>
      <c r="J131">
        <v>0</v>
      </c>
    </row>
    <row r="132" spans="2:10" hidden="1" x14ac:dyDescent="0.25">
      <c r="B132" t="s">
        <v>207</v>
      </c>
      <c r="C132">
        <v>65</v>
      </c>
      <c r="D132" t="s">
        <v>209</v>
      </c>
      <c r="E132">
        <v>1.52</v>
      </c>
      <c r="F132">
        <v>17.55</v>
      </c>
      <c r="G132">
        <v>224.98</v>
      </c>
      <c r="H132">
        <v>0</v>
      </c>
      <c r="I132">
        <v>0</v>
      </c>
      <c r="J132">
        <v>0</v>
      </c>
    </row>
    <row r="133" spans="2:10" hidden="1" x14ac:dyDescent="0.25">
      <c r="B133" t="s">
        <v>207</v>
      </c>
      <c r="C133">
        <v>66</v>
      </c>
      <c r="D133" t="s">
        <v>208</v>
      </c>
      <c r="E133">
        <v>-16.739999999999998</v>
      </c>
      <c r="F133">
        <v>24.05</v>
      </c>
      <c r="G133">
        <v>1413.6</v>
      </c>
      <c r="H133">
        <v>0</v>
      </c>
      <c r="I133">
        <v>0</v>
      </c>
      <c r="J133">
        <v>0</v>
      </c>
    </row>
    <row r="134" spans="2:10" hidden="1" x14ac:dyDescent="0.25">
      <c r="B134" t="s">
        <v>207</v>
      </c>
      <c r="C134">
        <v>66</v>
      </c>
      <c r="D134" t="s">
        <v>209</v>
      </c>
      <c r="E134">
        <v>-8.5</v>
      </c>
      <c r="F134">
        <v>15.7</v>
      </c>
      <c r="G134">
        <v>224.44</v>
      </c>
      <c r="H134">
        <v>0</v>
      </c>
      <c r="I134">
        <v>0</v>
      </c>
      <c r="J134">
        <v>0</v>
      </c>
    </row>
    <row r="135" spans="2:10" hidden="1" x14ac:dyDescent="0.25">
      <c r="B135" t="s">
        <v>207</v>
      </c>
      <c r="C135">
        <v>67</v>
      </c>
      <c r="D135" t="s">
        <v>208</v>
      </c>
      <c r="E135">
        <v>12.08</v>
      </c>
      <c r="F135">
        <v>31.19</v>
      </c>
      <c r="G135">
        <v>1447.34</v>
      </c>
      <c r="H135">
        <v>0</v>
      </c>
      <c r="I135">
        <v>0</v>
      </c>
      <c r="J135">
        <v>0</v>
      </c>
    </row>
    <row r="136" spans="2:10" hidden="1" x14ac:dyDescent="0.25">
      <c r="B136" t="s">
        <v>207</v>
      </c>
      <c r="C136">
        <v>67</v>
      </c>
      <c r="D136" t="s">
        <v>209</v>
      </c>
      <c r="E136">
        <v>3.07</v>
      </c>
      <c r="F136">
        <v>7.16</v>
      </c>
      <c r="G136">
        <v>238.82</v>
      </c>
      <c r="H136">
        <v>0</v>
      </c>
      <c r="I136">
        <v>0</v>
      </c>
      <c r="J136">
        <v>0</v>
      </c>
    </row>
    <row r="137" spans="2:10" hidden="1" x14ac:dyDescent="0.25">
      <c r="B137" t="s">
        <v>207</v>
      </c>
      <c r="C137">
        <v>68</v>
      </c>
      <c r="D137" t="s">
        <v>208</v>
      </c>
      <c r="E137">
        <v>-2.9</v>
      </c>
      <c r="F137">
        <v>30.61</v>
      </c>
      <c r="G137">
        <v>1443.8</v>
      </c>
      <c r="H137">
        <v>0</v>
      </c>
      <c r="I137">
        <v>0</v>
      </c>
      <c r="J137">
        <v>0</v>
      </c>
    </row>
    <row r="138" spans="2:10" hidden="1" x14ac:dyDescent="0.25">
      <c r="B138" t="s">
        <v>207</v>
      </c>
      <c r="C138">
        <v>68</v>
      </c>
      <c r="D138" t="s">
        <v>209</v>
      </c>
      <c r="E138">
        <v>-0.88</v>
      </c>
      <c r="F138">
        <v>5.8</v>
      </c>
      <c r="G138">
        <v>244.11</v>
      </c>
      <c r="H138">
        <v>0</v>
      </c>
      <c r="I138">
        <v>0</v>
      </c>
      <c r="J138">
        <v>0</v>
      </c>
    </row>
    <row r="139" spans="2:10" hidden="1" x14ac:dyDescent="0.25">
      <c r="B139" t="s">
        <v>207</v>
      </c>
      <c r="C139">
        <v>69</v>
      </c>
      <c r="D139" t="s">
        <v>208</v>
      </c>
      <c r="E139">
        <v>0.2</v>
      </c>
      <c r="F139">
        <v>26.44</v>
      </c>
      <c r="G139">
        <v>1448.32</v>
      </c>
      <c r="H139">
        <v>0</v>
      </c>
      <c r="I139">
        <v>0</v>
      </c>
      <c r="J139">
        <v>0</v>
      </c>
    </row>
    <row r="140" spans="2:10" hidden="1" x14ac:dyDescent="0.25">
      <c r="B140" t="s">
        <v>207</v>
      </c>
      <c r="C140">
        <v>69</v>
      </c>
      <c r="D140" t="s">
        <v>209</v>
      </c>
      <c r="E140">
        <v>-7.0000000000000007E-2</v>
      </c>
      <c r="F140">
        <v>6.22</v>
      </c>
      <c r="G140">
        <v>249.46</v>
      </c>
      <c r="H140">
        <v>0</v>
      </c>
      <c r="I140">
        <v>0</v>
      </c>
      <c r="J140">
        <v>0</v>
      </c>
    </row>
    <row r="141" spans="2:10" hidden="1" x14ac:dyDescent="0.25">
      <c r="B141" t="s">
        <v>207</v>
      </c>
      <c r="C141">
        <v>70</v>
      </c>
      <c r="D141" t="s">
        <v>208</v>
      </c>
      <c r="E141">
        <v>-0.42</v>
      </c>
      <c r="F141">
        <v>20.170000000000002</v>
      </c>
      <c r="G141">
        <v>1453.56</v>
      </c>
      <c r="H141">
        <v>0</v>
      </c>
      <c r="I141">
        <v>0</v>
      </c>
      <c r="J141">
        <v>0</v>
      </c>
    </row>
    <row r="142" spans="2:10" hidden="1" x14ac:dyDescent="0.25">
      <c r="B142" t="s">
        <v>207</v>
      </c>
      <c r="C142">
        <v>70</v>
      </c>
      <c r="D142" t="s">
        <v>209</v>
      </c>
      <c r="E142">
        <v>-0.24</v>
      </c>
      <c r="F142">
        <v>7.66</v>
      </c>
      <c r="G142">
        <v>253.75</v>
      </c>
      <c r="H142">
        <v>0</v>
      </c>
      <c r="I142">
        <v>0</v>
      </c>
      <c r="J142">
        <v>0</v>
      </c>
    </row>
    <row r="143" spans="2:10" hidden="1" x14ac:dyDescent="0.25">
      <c r="B143" t="s">
        <v>207</v>
      </c>
      <c r="C143">
        <v>71</v>
      </c>
      <c r="D143" t="s">
        <v>208</v>
      </c>
      <c r="E143">
        <v>-0.33</v>
      </c>
      <c r="F143">
        <v>12.98</v>
      </c>
      <c r="G143">
        <v>1458.52</v>
      </c>
      <c r="H143">
        <v>0</v>
      </c>
      <c r="I143">
        <v>0</v>
      </c>
      <c r="J143">
        <v>0</v>
      </c>
    </row>
    <row r="144" spans="2:10" hidden="1" x14ac:dyDescent="0.25">
      <c r="B144" t="s">
        <v>207</v>
      </c>
      <c r="C144">
        <v>71</v>
      </c>
      <c r="D144" t="s">
        <v>209</v>
      </c>
      <c r="E144">
        <v>-0.22</v>
      </c>
      <c r="F144">
        <v>9.51</v>
      </c>
      <c r="G144">
        <v>257.57</v>
      </c>
      <c r="H144">
        <v>0</v>
      </c>
      <c r="I144">
        <v>0</v>
      </c>
      <c r="J144">
        <v>0</v>
      </c>
    </row>
    <row r="145" spans="2:10" hidden="1" x14ac:dyDescent="0.25">
      <c r="B145" t="s">
        <v>207</v>
      </c>
      <c r="C145">
        <v>72</v>
      </c>
      <c r="D145" t="s">
        <v>208</v>
      </c>
      <c r="E145">
        <v>-0.18</v>
      </c>
      <c r="F145">
        <v>5.92</v>
      </c>
      <c r="G145">
        <v>1463.02</v>
      </c>
      <c r="H145">
        <v>0</v>
      </c>
      <c r="I145">
        <v>0</v>
      </c>
      <c r="J145">
        <v>0</v>
      </c>
    </row>
    <row r="146" spans="2:10" hidden="1" x14ac:dyDescent="0.25">
      <c r="B146" t="s">
        <v>207</v>
      </c>
      <c r="C146">
        <v>72</v>
      </c>
      <c r="D146" t="s">
        <v>209</v>
      </c>
      <c r="E146">
        <v>-0.18</v>
      </c>
      <c r="F146">
        <v>11.28</v>
      </c>
      <c r="G146">
        <v>261.02999999999997</v>
      </c>
      <c r="H146">
        <v>0</v>
      </c>
      <c r="I146">
        <v>0</v>
      </c>
      <c r="J146">
        <v>0</v>
      </c>
    </row>
    <row r="147" spans="2:10" hidden="1" x14ac:dyDescent="0.25">
      <c r="B147" t="s">
        <v>207</v>
      </c>
      <c r="C147">
        <v>73</v>
      </c>
      <c r="D147" t="s">
        <v>208</v>
      </c>
      <c r="E147">
        <v>-1.1200000000000001</v>
      </c>
      <c r="F147">
        <v>0.14000000000000001</v>
      </c>
      <c r="G147">
        <v>1467.75</v>
      </c>
      <c r="H147">
        <v>0</v>
      </c>
      <c r="I147">
        <v>0</v>
      </c>
      <c r="J147">
        <v>0</v>
      </c>
    </row>
    <row r="148" spans="2:10" hidden="1" x14ac:dyDescent="0.25">
      <c r="B148" t="s">
        <v>207</v>
      </c>
      <c r="C148">
        <v>73</v>
      </c>
      <c r="D148" t="s">
        <v>209</v>
      </c>
      <c r="E148">
        <v>-0.47</v>
      </c>
      <c r="F148">
        <v>12.44</v>
      </c>
      <c r="G148">
        <v>263.85000000000002</v>
      </c>
      <c r="H148">
        <v>0</v>
      </c>
      <c r="I148">
        <v>0</v>
      </c>
      <c r="J148">
        <v>0</v>
      </c>
    </row>
    <row r="149" spans="2:10" hidden="1" x14ac:dyDescent="0.25">
      <c r="B149" t="s">
        <v>207</v>
      </c>
      <c r="C149">
        <v>74</v>
      </c>
      <c r="D149" t="s">
        <v>208</v>
      </c>
      <c r="E149">
        <v>3.32</v>
      </c>
      <c r="F149">
        <v>-2.89</v>
      </c>
      <c r="G149">
        <v>1474.36</v>
      </c>
      <c r="H149">
        <v>0</v>
      </c>
      <c r="I149">
        <v>0</v>
      </c>
      <c r="J149">
        <v>0</v>
      </c>
    </row>
    <row r="150" spans="2:10" hidden="1" x14ac:dyDescent="0.25">
      <c r="B150" t="s">
        <v>207</v>
      </c>
      <c r="C150">
        <v>74</v>
      </c>
      <c r="D150" t="s">
        <v>209</v>
      </c>
      <c r="E150">
        <v>0.89</v>
      </c>
      <c r="F150">
        <v>12.33</v>
      </c>
      <c r="G150">
        <v>265.24</v>
      </c>
      <c r="H150">
        <v>0</v>
      </c>
      <c r="I150">
        <v>0</v>
      </c>
      <c r="J150">
        <v>0</v>
      </c>
    </row>
    <row r="151" spans="2:10" hidden="1" x14ac:dyDescent="0.25">
      <c r="B151" t="s">
        <v>207</v>
      </c>
      <c r="C151">
        <v>75</v>
      </c>
      <c r="D151" t="s">
        <v>208</v>
      </c>
      <c r="E151">
        <v>-18.5</v>
      </c>
      <c r="F151">
        <v>-1.2</v>
      </c>
      <c r="G151">
        <v>1483.8</v>
      </c>
      <c r="H151">
        <v>0</v>
      </c>
      <c r="I151">
        <v>0</v>
      </c>
      <c r="J151">
        <v>0</v>
      </c>
    </row>
    <row r="152" spans="2:10" hidden="1" x14ac:dyDescent="0.25">
      <c r="B152" t="s">
        <v>207</v>
      </c>
      <c r="C152">
        <v>75</v>
      </c>
      <c r="D152" t="s">
        <v>209</v>
      </c>
      <c r="E152">
        <v>-5.8</v>
      </c>
      <c r="F152">
        <v>10.01</v>
      </c>
      <c r="G152">
        <v>263.13</v>
      </c>
      <c r="H152">
        <v>0</v>
      </c>
      <c r="I152">
        <v>0</v>
      </c>
      <c r="J152">
        <v>0</v>
      </c>
    </row>
    <row r="153" spans="2:10" hidden="1" x14ac:dyDescent="0.25">
      <c r="B153" t="s">
        <v>207</v>
      </c>
      <c r="C153">
        <v>76</v>
      </c>
      <c r="D153" t="s">
        <v>208</v>
      </c>
      <c r="E153">
        <v>-3.02</v>
      </c>
      <c r="F153">
        <v>16.03</v>
      </c>
      <c r="G153">
        <v>1492.58</v>
      </c>
      <c r="H153">
        <v>0</v>
      </c>
      <c r="I153">
        <v>0</v>
      </c>
      <c r="J153">
        <v>0</v>
      </c>
    </row>
    <row r="154" spans="2:10" hidden="1" x14ac:dyDescent="0.25">
      <c r="B154" t="s">
        <v>207</v>
      </c>
      <c r="C154">
        <v>76</v>
      </c>
      <c r="D154" t="s">
        <v>209</v>
      </c>
      <c r="E154">
        <v>-1.31</v>
      </c>
      <c r="F154">
        <v>-0.57999999999999996</v>
      </c>
      <c r="G154">
        <v>269.44</v>
      </c>
      <c r="H154">
        <v>0</v>
      </c>
      <c r="I154">
        <v>0</v>
      </c>
      <c r="J154">
        <v>0</v>
      </c>
    </row>
    <row r="155" spans="2:10" hidden="1" x14ac:dyDescent="0.25">
      <c r="B155" t="s">
        <v>207</v>
      </c>
      <c r="C155">
        <v>77</v>
      </c>
      <c r="D155" t="s">
        <v>208</v>
      </c>
      <c r="E155">
        <v>0.13</v>
      </c>
      <c r="F155">
        <v>18.010000000000002</v>
      </c>
      <c r="G155">
        <v>1483.89</v>
      </c>
      <c r="H155">
        <v>0</v>
      </c>
      <c r="I155">
        <v>0</v>
      </c>
      <c r="J155">
        <v>0</v>
      </c>
    </row>
    <row r="156" spans="2:10" hidden="1" x14ac:dyDescent="0.25">
      <c r="B156" t="s">
        <v>207</v>
      </c>
      <c r="C156">
        <v>77</v>
      </c>
      <c r="D156" t="s">
        <v>209</v>
      </c>
      <c r="E156">
        <v>-0.05</v>
      </c>
      <c r="F156">
        <v>-2.59</v>
      </c>
      <c r="G156">
        <v>273.85000000000002</v>
      </c>
      <c r="H156">
        <v>0</v>
      </c>
      <c r="I156">
        <v>0</v>
      </c>
      <c r="J156">
        <v>0</v>
      </c>
    </row>
    <row r="157" spans="2:10" hidden="1" x14ac:dyDescent="0.25">
      <c r="B157" t="s">
        <v>207</v>
      </c>
      <c r="C157">
        <v>78</v>
      </c>
      <c r="D157" t="s">
        <v>208</v>
      </c>
      <c r="E157">
        <v>-0.47</v>
      </c>
      <c r="F157">
        <v>14.95</v>
      </c>
      <c r="G157">
        <v>1481.5</v>
      </c>
      <c r="H157">
        <v>0</v>
      </c>
      <c r="I157">
        <v>0</v>
      </c>
      <c r="J157">
        <v>0</v>
      </c>
    </row>
    <row r="158" spans="2:10" hidden="1" x14ac:dyDescent="0.25">
      <c r="B158" t="s">
        <v>207</v>
      </c>
      <c r="C158">
        <v>78</v>
      </c>
      <c r="D158" t="s">
        <v>209</v>
      </c>
      <c r="E158">
        <v>-0.3</v>
      </c>
      <c r="F158">
        <v>-2.4700000000000002</v>
      </c>
      <c r="G158">
        <v>276.51</v>
      </c>
      <c r="H158">
        <v>0</v>
      </c>
      <c r="I158">
        <v>0</v>
      </c>
      <c r="J158">
        <v>0</v>
      </c>
    </row>
    <row r="159" spans="2:10" hidden="1" x14ac:dyDescent="0.25">
      <c r="B159" t="s">
        <v>207</v>
      </c>
      <c r="C159">
        <v>79</v>
      </c>
      <c r="D159" t="s">
        <v>208</v>
      </c>
      <c r="E159">
        <v>-0.32</v>
      </c>
      <c r="F159">
        <v>8.9499999999999993</v>
      </c>
      <c r="G159">
        <v>1481.16</v>
      </c>
      <c r="H159">
        <v>0</v>
      </c>
      <c r="I159">
        <v>0</v>
      </c>
      <c r="J159">
        <v>0</v>
      </c>
    </row>
    <row r="160" spans="2:10" hidden="1" x14ac:dyDescent="0.25">
      <c r="B160" t="s">
        <v>207</v>
      </c>
      <c r="C160">
        <v>79</v>
      </c>
      <c r="D160" t="s">
        <v>209</v>
      </c>
      <c r="E160">
        <v>-0.24</v>
      </c>
      <c r="F160">
        <v>-1.1299999999999999</v>
      </c>
      <c r="G160">
        <v>277.87</v>
      </c>
      <c r="H160">
        <v>0</v>
      </c>
      <c r="I160">
        <v>0</v>
      </c>
      <c r="J160">
        <v>0</v>
      </c>
    </row>
    <row r="161" spans="2:10" hidden="1" x14ac:dyDescent="0.25">
      <c r="B161" t="s">
        <v>207</v>
      </c>
      <c r="C161">
        <v>80</v>
      </c>
      <c r="D161" t="s">
        <v>208</v>
      </c>
      <c r="E161">
        <v>-0.35</v>
      </c>
      <c r="F161">
        <v>1.6</v>
      </c>
      <c r="G161">
        <v>1481.28</v>
      </c>
      <c r="H161">
        <v>0</v>
      </c>
      <c r="I161">
        <v>0</v>
      </c>
      <c r="J161">
        <v>0</v>
      </c>
    </row>
    <row r="162" spans="2:10" hidden="1" x14ac:dyDescent="0.25">
      <c r="B162" t="s">
        <v>207</v>
      </c>
      <c r="C162">
        <v>80</v>
      </c>
      <c r="D162" t="s">
        <v>209</v>
      </c>
      <c r="E162">
        <v>-0.26</v>
      </c>
      <c r="F162">
        <v>0.79</v>
      </c>
      <c r="G162">
        <v>278.64999999999998</v>
      </c>
      <c r="H162">
        <v>0</v>
      </c>
      <c r="I162">
        <v>0</v>
      </c>
      <c r="J162">
        <v>0</v>
      </c>
    </row>
    <row r="163" spans="2:10" hidden="1" x14ac:dyDescent="0.25">
      <c r="B163" t="s">
        <v>207</v>
      </c>
      <c r="C163">
        <v>81</v>
      </c>
      <c r="D163" t="s">
        <v>208</v>
      </c>
      <c r="E163">
        <v>-0.31</v>
      </c>
      <c r="F163">
        <v>-5.77</v>
      </c>
      <c r="G163">
        <v>1481.32</v>
      </c>
      <c r="H163">
        <v>0</v>
      </c>
      <c r="I163">
        <v>0</v>
      </c>
      <c r="J163">
        <v>0</v>
      </c>
    </row>
    <row r="164" spans="2:10" hidden="1" x14ac:dyDescent="0.25">
      <c r="B164" t="s">
        <v>207</v>
      </c>
      <c r="C164">
        <v>81</v>
      </c>
      <c r="D164" t="s">
        <v>209</v>
      </c>
      <c r="E164">
        <v>-0.24</v>
      </c>
      <c r="F164">
        <v>2.75</v>
      </c>
      <c r="G164">
        <v>279.08999999999997</v>
      </c>
      <c r="H164">
        <v>0</v>
      </c>
      <c r="I164">
        <v>0</v>
      </c>
      <c r="J164">
        <v>0</v>
      </c>
    </row>
    <row r="165" spans="2:10" hidden="1" x14ac:dyDescent="0.25">
      <c r="B165" t="s">
        <v>207</v>
      </c>
      <c r="C165">
        <v>82</v>
      </c>
      <c r="D165" t="s">
        <v>208</v>
      </c>
      <c r="E165">
        <v>-0.54</v>
      </c>
      <c r="F165">
        <v>-11.83</v>
      </c>
      <c r="G165">
        <v>1481.79</v>
      </c>
      <c r="H165">
        <v>0</v>
      </c>
      <c r="I165">
        <v>0</v>
      </c>
      <c r="J165">
        <v>0</v>
      </c>
    </row>
    <row r="166" spans="2:10" hidden="1" x14ac:dyDescent="0.25">
      <c r="B166" t="s">
        <v>207</v>
      </c>
      <c r="C166">
        <v>82</v>
      </c>
      <c r="D166" t="s">
        <v>209</v>
      </c>
      <c r="E166">
        <v>-0.32</v>
      </c>
      <c r="F166">
        <v>4.22</v>
      </c>
      <c r="G166">
        <v>279.02999999999997</v>
      </c>
      <c r="H166">
        <v>0</v>
      </c>
      <c r="I166">
        <v>0</v>
      </c>
      <c r="J166">
        <v>0</v>
      </c>
    </row>
    <row r="167" spans="2:10" hidden="1" x14ac:dyDescent="0.25">
      <c r="B167" t="s">
        <v>207</v>
      </c>
      <c r="C167">
        <v>83</v>
      </c>
      <c r="D167" t="s">
        <v>208</v>
      </c>
      <c r="E167">
        <v>0.45</v>
      </c>
      <c r="F167">
        <v>-14.98</v>
      </c>
      <c r="G167">
        <v>1484.28</v>
      </c>
      <c r="H167">
        <v>0</v>
      </c>
      <c r="I167">
        <v>0</v>
      </c>
      <c r="J167">
        <v>0</v>
      </c>
    </row>
    <row r="168" spans="2:10" hidden="1" x14ac:dyDescent="0.25">
      <c r="B168" t="s">
        <v>207</v>
      </c>
      <c r="C168">
        <v>83</v>
      </c>
      <c r="D168" t="s">
        <v>209</v>
      </c>
      <c r="E168">
        <v>0.03</v>
      </c>
      <c r="F168">
        <v>4.5999999999999996</v>
      </c>
      <c r="G168">
        <v>277.82</v>
      </c>
      <c r="H168">
        <v>0</v>
      </c>
      <c r="I168">
        <v>0</v>
      </c>
      <c r="J168">
        <v>0</v>
      </c>
    </row>
    <row r="169" spans="2:10" hidden="1" x14ac:dyDescent="0.25">
      <c r="B169" t="s">
        <v>207</v>
      </c>
      <c r="C169">
        <v>84</v>
      </c>
      <c r="D169" t="s">
        <v>208</v>
      </c>
      <c r="E169">
        <v>-4.63</v>
      </c>
      <c r="F169">
        <v>-13.14</v>
      </c>
      <c r="G169">
        <v>1492.09</v>
      </c>
      <c r="H169">
        <v>0</v>
      </c>
      <c r="I169">
        <v>0</v>
      </c>
      <c r="J169">
        <v>0</v>
      </c>
    </row>
    <row r="170" spans="2:10" hidden="1" x14ac:dyDescent="0.25">
      <c r="B170" t="s">
        <v>207</v>
      </c>
      <c r="C170">
        <v>84</v>
      </c>
      <c r="D170" t="s">
        <v>209</v>
      </c>
      <c r="E170">
        <v>-1.7</v>
      </c>
      <c r="F170">
        <v>3.01</v>
      </c>
      <c r="G170">
        <v>274.68</v>
      </c>
      <c r="H170">
        <v>0</v>
      </c>
      <c r="I170">
        <v>0</v>
      </c>
      <c r="J170">
        <v>0</v>
      </c>
    </row>
    <row r="171" spans="2:10" hidden="1" x14ac:dyDescent="0.25">
      <c r="B171" t="s">
        <v>207</v>
      </c>
      <c r="C171">
        <v>85</v>
      </c>
      <c r="D171" t="s">
        <v>208</v>
      </c>
      <c r="E171">
        <v>-5.1100000000000003</v>
      </c>
      <c r="F171">
        <v>4</v>
      </c>
      <c r="G171">
        <v>1485.56</v>
      </c>
      <c r="H171">
        <v>0</v>
      </c>
      <c r="I171">
        <v>0</v>
      </c>
      <c r="J171">
        <v>0</v>
      </c>
    </row>
    <row r="172" spans="2:10" hidden="1" x14ac:dyDescent="0.25">
      <c r="B172" t="s">
        <v>207</v>
      </c>
      <c r="C172">
        <v>85</v>
      </c>
      <c r="D172" t="s">
        <v>209</v>
      </c>
      <c r="E172">
        <v>-2.2400000000000002</v>
      </c>
      <c r="F172">
        <v>-6.1</v>
      </c>
      <c r="G172">
        <v>272.85000000000002</v>
      </c>
      <c r="H172">
        <v>0</v>
      </c>
      <c r="I172">
        <v>0</v>
      </c>
      <c r="J172">
        <v>0</v>
      </c>
    </row>
    <row r="173" spans="2:10" hidden="1" x14ac:dyDescent="0.25">
      <c r="B173" t="s">
        <v>207</v>
      </c>
      <c r="C173">
        <v>86</v>
      </c>
      <c r="D173" t="s">
        <v>208</v>
      </c>
      <c r="E173">
        <v>0.55000000000000004</v>
      </c>
      <c r="F173">
        <v>5.46</v>
      </c>
      <c r="G173">
        <v>1474.55</v>
      </c>
      <c r="H173">
        <v>0</v>
      </c>
      <c r="I173">
        <v>0</v>
      </c>
      <c r="J173">
        <v>0</v>
      </c>
    </row>
    <row r="174" spans="2:10" hidden="1" x14ac:dyDescent="0.25">
      <c r="B174" t="s">
        <v>207</v>
      </c>
      <c r="C174">
        <v>86</v>
      </c>
      <c r="D174" t="s">
        <v>209</v>
      </c>
      <c r="E174">
        <v>0.14000000000000001</v>
      </c>
      <c r="F174">
        <v>-7.84</v>
      </c>
      <c r="G174">
        <v>276.06</v>
      </c>
      <c r="H174">
        <v>0</v>
      </c>
      <c r="I174">
        <v>0</v>
      </c>
      <c r="J174">
        <v>0</v>
      </c>
    </row>
    <row r="175" spans="2:10" hidden="1" x14ac:dyDescent="0.25">
      <c r="B175" t="s">
        <v>207</v>
      </c>
      <c r="C175">
        <v>87</v>
      </c>
      <c r="D175" t="s">
        <v>208</v>
      </c>
      <c r="E175">
        <v>-0.56000000000000005</v>
      </c>
      <c r="F175">
        <v>1.9</v>
      </c>
      <c r="G175">
        <v>1467.28</v>
      </c>
      <c r="H175">
        <v>0</v>
      </c>
      <c r="I175">
        <v>0</v>
      </c>
      <c r="J175">
        <v>0</v>
      </c>
    </row>
    <row r="176" spans="2:10" hidden="1" x14ac:dyDescent="0.25">
      <c r="B176" t="s">
        <v>207</v>
      </c>
      <c r="C176">
        <v>87</v>
      </c>
      <c r="D176" t="s">
        <v>209</v>
      </c>
      <c r="E176">
        <v>-0.34</v>
      </c>
      <c r="F176">
        <v>-7.6</v>
      </c>
      <c r="G176">
        <v>276.49</v>
      </c>
      <c r="H176">
        <v>0</v>
      </c>
      <c r="I176">
        <v>0</v>
      </c>
      <c r="J176">
        <v>0</v>
      </c>
    </row>
    <row r="177" spans="2:10" hidden="1" x14ac:dyDescent="0.25">
      <c r="B177" t="s">
        <v>207</v>
      </c>
      <c r="C177">
        <v>88</v>
      </c>
      <c r="D177" t="s">
        <v>208</v>
      </c>
      <c r="E177">
        <v>-0.3</v>
      </c>
      <c r="F177">
        <v>-4.6399999999999997</v>
      </c>
      <c r="G177">
        <v>1461.76</v>
      </c>
      <c r="H177">
        <v>0</v>
      </c>
      <c r="I177">
        <v>0</v>
      </c>
      <c r="J177">
        <v>0</v>
      </c>
    </row>
    <row r="178" spans="2:10" hidden="1" x14ac:dyDescent="0.25">
      <c r="B178" t="s">
        <v>207</v>
      </c>
      <c r="C178">
        <v>88</v>
      </c>
      <c r="D178" t="s">
        <v>209</v>
      </c>
      <c r="E178">
        <v>-0.23</v>
      </c>
      <c r="F178">
        <v>-6.24</v>
      </c>
      <c r="G178">
        <v>275.68</v>
      </c>
      <c r="H178">
        <v>0</v>
      </c>
      <c r="I178">
        <v>0</v>
      </c>
      <c r="J178">
        <v>0</v>
      </c>
    </row>
    <row r="179" spans="2:10" hidden="1" x14ac:dyDescent="0.25">
      <c r="B179" t="s">
        <v>207</v>
      </c>
      <c r="C179">
        <v>89</v>
      </c>
      <c r="D179" t="s">
        <v>208</v>
      </c>
      <c r="E179">
        <v>-0.35</v>
      </c>
      <c r="F179">
        <v>-12.63</v>
      </c>
      <c r="G179">
        <v>1456.33</v>
      </c>
      <c r="H179">
        <v>0</v>
      </c>
      <c r="I179">
        <v>0</v>
      </c>
      <c r="J179">
        <v>0</v>
      </c>
    </row>
    <row r="180" spans="2:10" hidden="1" x14ac:dyDescent="0.25">
      <c r="B180" t="s">
        <v>207</v>
      </c>
      <c r="C180">
        <v>89</v>
      </c>
      <c r="D180" t="s">
        <v>209</v>
      </c>
      <c r="E180">
        <v>-0.25</v>
      </c>
      <c r="F180">
        <v>-4.41</v>
      </c>
      <c r="G180">
        <v>274.27999999999997</v>
      </c>
      <c r="H180">
        <v>0</v>
      </c>
      <c r="I180">
        <v>0</v>
      </c>
      <c r="J180">
        <v>0</v>
      </c>
    </row>
    <row r="181" spans="2:10" hidden="1" x14ac:dyDescent="0.25">
      <c r="B181" t="s">
        <v>207</v>
      </c>
      <c r="C181">
        <v>90</v>
      </c>
      <c r="D181" t="s">
        <v>208</v>
      </c>
      <c r="E181">
        <v>-0.32</v>
      </c>
      <c r="F181">
        <v>-20.81</v>
      </c>
      <c r="G181">
        <v>1450.38</v>
      </c>
      <c r="H181">
        <v>0</v>
      </c>
      <c r="I181">
        <v>0</v>
      </c>
      <c r="J181">
        <v>0</v>
      </c>
    </row>
    <row r="182" spans="2:10" hidden="1" x14ac:dyDescent="0.25">
      <c r="B182" t="s">
        <v>207</v>
      </c>
      <c r="C182">
        <v>90</v>
      </c>
      <c r="D182" t="s">
        <v>209</v>
      </c>
      <c r="E182">
        <v>-0.24</v>
      </c>
      <c r="F182">
        <v>-2.66</v>
      </c>
      <c r="G182">
        <v>272.45</v>
      </c>
      <c r="H182">
        <v>0</v>
      </c>
      <c r="I182">
        <v>0</v>
      </c>
      <c r="J182">
        <v>0</v>
      </c>
    </row>
    <row r="183" spans="2:10" hidden="1" x14ac:dyDescent="0.25">
      <c r="B183" t="s">
        <v>207</v>
      </c>
      <c r="C183">
        <v>91</v>
      </c>
      <c r="D183" t="s">
        <v>208</v>
      </c>
      <c r="E183">
        <v>-0.45</v>
      </c>
      <c r="F183">
        <v>-27.94</v>
      </c>
      <c r="G183">
        <v>1444.25</v>
      </c>
      <c r="H183">
        <v>0</v>
      </c>
      <c r="I183">
        <v>0</v>
      </c>
      <c r="J183">
        <v>0</v>
      </c>
    </row>
    <row r="184" spans="2:10" hidden="1" x14ac:dyDescent="0.25">
      <c r="B184" t="s">
        <v>207</v>
      </c>
      <c r="C184">
        <v>91</v>
      </c>
      <c r="D184" t="s">
        <v>209</v>
      </c>
      <c r="E184">
        <v>-0.27</v>
      </c>
      <c r="F184">
        <v>-1.54</v>
      </c>
      <c r="G184">
        <v>269.92</v>
      </c>
      <c r="H184">
        <v>0</v>
      </c>
      <c r="I184">
        <v>0</v>
      </c>
      <c r="J184">
        <v>0</v>
      </c>
    </row>
    <row r="185" spans="2:10" hidden="1" x14ac:dyDescent="0.25">
      <c r="B185" t="s">
        <v>207</v>
      </c>
      <c r="C185">
        <v>92</v>
      </c>
      <c r="D185" t="s">
        <v>208</v>
      </c>
      <c r="E185">
        <v>0.03</v>
      </c>
      <c r="F185">
        <v>-32.590000000000003</v>
      </c>
      <c r="G185">
        <v>1439.25</v>
      </c>
      <c r="H185">
        <v>0</v>
      </c>
      <c r="I185">
        <v>0</v>
      </c>
      <c r="J185">
        <v>0</v>
      </c>
    </row>
    <row r="186" spans="2:10" hidden="1" x14ac:dyDescent="0.25">
      <c r="B186" t="s">
        <v>207</v>
      </c>
      <c r="C186">
        <v>92</v>
      </c>
      <c r="D186" t="s">
        <v>209</v>
      </c>
      <c r="E186">
        <v>-0.16</v>
      </c>
      <c r="F186">
        <v>-1.72</v>
      </c>
      <c r="G186">
        <v>265.91000000000003</v>
      </c>
      <c r="H186">
        <v>0</v>
      </c>
      <c r="I186">
        <v>0</v>
      </c>
      <c r="J186">
        <v>0</v>
      </c>
    </row>
    <row r="187" spans="2:10" hidden="1" x14ac:dyDescent="0.25">
      <c r="B187" t="s">
        <v>207</v>
      </c>
      <c r="C187">
        <v>93</v>
      </c>
      <c r="D187" t="s">
        <v>208</v>
      </c>
      <c r="E187">
        <v>-2.5099999999999998</v>
      </c>
      <c r="F187">
        <v>-32.89</v>
      </c>
      <c r="G187">
        <v>1442.79</v>
      </c>
      <c r="H187">
        <v>0</v>
      </c>
      <c r="I187">
        <v>0</v>
      </c>
      <c r="J187">
        <v>0</v>
      </c>
    </row>
    <row r="188" spans="2:10" hidden="1" x14ac:dyDescent="0.25">
      <c r="B188" t="s">
        <v>207</v>
      </c>
      <c r="C188">
        <v>93</v>
      </c>
      <c r="D188" t="s">
        <v>209</v>
      </c>
      <c r="E188">
        <v>-0.74</v>
      </c>
      <c r="F188">
        <v>-4.1500000000000004</v>
      </c>
      <c r="G188">
        <v>261.14</v>
      </c>
      <c r="H188">
        <v>0</v>
      </c>
      <c r="I188">
        <v>0</v>
      </c>
      <c r="J188">
        <v>0</v>
      </c>
    </row>
    <row r="189" spans="2:10" hidden="1" x14ac:dyDescent="0.25">
      <c r="B189" t="s">
        <v>207</v>
      </c>
      <c r="C189">
        <v>94</v>
      </c>
      <c r="D189" t="s">
        <v>208</v>
      </c>
      <c r="E189">
        <v>-22.54</v>
      </c>
      <c r="F189">
        <v>-24.13</v>
      </c>
      <c r="G189">
        <v>1405.09</v>
      </c>
      <c r="H189">
        <v>0</v>
      </c>
      <c r="I189">
        <v>0</v>
      </c>
      <c r="J189">
        <v>0</v>
      </c>
    </row>
    <row r="190" spans="2:10" hidden="1" x14ac:dyDescent="0.25">
      <c r="B190" t="s">
        <v>207</v>
      </c>
      <c r="C190">
        <v>94</v>
      </c>
      <c r="D190" t="s">
        <v>209</v>
      </c>
      <c r="E190">
        <v>-11.19</v>
      </c>
      <c r="F190">
        <v>-16.510000000000002</v>
      </c>
      <c r="G190">
        <v>247.98</v>
      </c>
      <c r="H190">
        <v>0</v>
      </c>
      <c r="I190">
        <v>0</v>
      </c>
      <c r="J190">
        <v>0</v>
      </c>
    </row>
    <row r="191" spans="2:10" hidden="1" x14ac:dyDescent="0.25">
      <c r="B191" t="s">
        <v>207</v>
      </c>
      <c r="C191">
        <v>95</v>
      </c>
      <c r="D191" t="s">
        <v>208</v>
      </c>
      <c r="E191">
        <v>4.17</v>
      </c>
      <c r="F191">
        <v>-26.62</v>
      </c>
      <c r="G191">
        <v>1389.69</v>
      </c>
      <c r="H191">
        <v>0</v>
      </c>
      <c r="I191">
        <v>0</v>
      </c>
      <c r="J191">
        <v>0</v>
      </c>
    </row>
    <row r="192" spans="2:10" hidden="1" x14ac:dyDescent="0.25">
      <c r="B192" t="s">
        <v>207</v>
      </c>
      <c r="C192">
        <v>95</v>
      </c>
      <c r="D192" t="s">
        <v>209</v>
      </c>
      <c r="E192">
        <v>2.02</v>
      </c>
      <c r="F192">
        <v>-19.670000000000002</v>
      </c>
      <c r="G192">
        <v>249.8</v>
      </c>
      <c r="H192">
        <v>0</v>
      </c>
      <c r="I192">
        <v>0</v>
      </c>
      <c r="J192">
        <v>0</v>
      </c>
    </row>
    <row r="193" spans="2:10" hidden="1" x14ac:dyDescent="0.25">
      <c r="B193" t="s">
        <v>207</v>
      </c>
      <c r="C193">
        <v>96</v>
      </c>
      <c r="D193" t="s">
        <v>208</v>
      </c>
      <c r="E193">
        <v>-1.25</v>
      </c>
      <c r="F193">
        <v>-33.19</v>
      </c>
      <c r="G193">
        <v>1371.1</v>
      </c>
      <c r="H193">
        <v>0</v>
      </c>
      <c r="I193">
        <v>0</v>
      </c>
      <c r="J193">
        <v>0</v>
      </c>
    </row>
    <row r="194" spans="2:10" hidden="1" x14ac:dyDescent="0.25">
      <c r="B194" t="s">
        <v>207</v>
      </c>
      <c r="C194">
        <v>96</v>
      </c>
      <c r="D194" t="s">
        <v>209</v>
      </c>
      <c r="E194">
        <v>-0.68</v>
      </c>
      <c r="F194">
        <v>-20.350000000000001</v>
      </c>
      <c r="G194">
        <v>246.47</v>
      </c>
      <c r="H194">
        <v>0</v>
      </c>
      <c r="I194">
        <v>0</v>
      </c>
      <c r="J194">
        <v>0</v>
      </c>
    </row>
    <row r="195" spans="2:10" hidden="1" x14ac:dyDescent="0.25">
      <c r="B195" t="s">
        <v>207</v>
      </c>
      <c r="C195">
        <v>97</v>
      </c>
      <c r="D195" t="s">
        <v>208</v>
      </c>
      <c r="E195">
        <v>-0.11</v>
      </c>
      <c r="F195">
        <v>-42.27</v>
      </c>
      <c r="G195">
        <v>1352.36</v>
      </c>
      <c r="H195">
        <v>0</v>
      </c>
      <c r="I195">
        <v>0</v>
      </c>
      <c r="J195">
        <v>0</v>
      </c>
    </row>
    <row r="196" spans="2:10" hidden="1" x14ac:dyDescent="0.25">
      <c r="B196" t="s">
        <v>207</v>
      </c>
      <c r="C196">
        <v>97</v>
      </c>
      <c r="D196" t="s">
        <v>209</v>
      </c>
      <c r="E196">
        <v>-0.11</v>
      </c>
      <c r="F196">
        <v>-19.510000000000002</v>
      </c>
      <c r="G196">
        <v>241.55</v>
      </c>
      <c r="H196">
        <v>0</v>
      </c>
      <c r="I196">
        <v>0</v>
      </c>
      <c r="J196">
        <v>0</v>
      </c>
    </row>
    <row r="197" spans="2:10" hidden="1" x14ac:dyDescent="0.25">
      <c r="B197" t="s">
        <v>207</v>
      </c>
      <c r="C197">
        <v>98</v>
      </c>
      <c r="D197" t="s">
        <v>208</v>
      </c>
      <c r="E197">
        <v>-0.28000000000000003</v>
      </c>
      <c r="F197">
        <v>-52.69</v>
      </c>
      <c r="G197">
        <v>1332.14</v>
      </c>
      <c r="H197">
        <v>0</v>
      </c>
      <c r="I197">
        <v>0</v>
      </c>
      <c r="J197">
        <v>0</v>
      </c>
    </row>
    <row r="198" spans="2:10" hidden="1" x14ac:dyDescent="0.25">
      <c r="B198" t="s">
        <v>207</v>
      </c>
      <c r="C198">
        <v>98</v>
      </c>
      <c r="D198" t="s">
        <v>209</v>
      </c>
      <c r="E198">
        <v>-0.19</v>
      </c>
      <c r="F198">
        <v>-17.79</v>
      </c>
      <c r="G198">
        <v>236.04</v>
      </c>
      <c r="H198">
        <v>0</v>
      </c>
      <c r="I198">
        <v>0</v>
      </c>
      <c r="J198">
        <v>0</v>
      </c>
    </row>
    <row r="199" spans="2:10" hidden="1" x14ac:dyDescent="0.25">
      <c r="B199" t="s">
        <v>207</v>
      </c>
      <c r="C199">
        <v>99</v>
      </c>
      <c r="D199" t="s">
        <v>208</v>
      </c>
      <c r="E199">
        <v>-0.4</v>
      </c>
      <c r="F199">
        <v>-63.43</v>
      </c>
      <c r="G199">
        <v>1310.01</v>
      </c>
      <c r="H199">
        <v>0</v>
      </c>
      <c r="I199">
        <v>0</v>
      </c>
      <c r="J199">
        <v>0</v>
      </c>
    </row>
    <row r="200" spans="2:10" hidden="1" x14ac:dyDescent="0.25">
      <c r="B200" t="s">
        <v>207</v>
      </c>
      <c r="C200">
        <v>99</v>
      </c>
      <c r="D200" t="s">
        <v>209</v>
      </c>
      <c r="E200">
        <v>-0.25</v>
      </c>
      <c r="F200">
        <v>-15.62</v>
      </c>
      <c r="G200">
        <v>230.53</v>
      </c>
      <c r="H200">
        <v>0</v>
      </c>
      <c r="I200">
        <v>0</v>
      </c>
      <c r="J200">
        <v>0</v>
      </c>
    </row>
    <row r="201" spans="2:10" hidden="1" x14ac:dyDescent="0.25">
      <c r="B201" t="s">
        <v>207</v>
      </c>
      <c r="C201">
        <v>100</v>
      </c>
      <c r="D201" t="s">
        <v>208</v>
      </c>
      <c r="E201">
        <v>0.44</v>
      </c>
      <c r="F201">
        <v>-73.430000000000007</v>
      </c>
      <c r="G201">
        <v>1286.48</v>
      </c>
      <c r="H201">
        <v>0</v>
      </c>
      <c r="I201">
        <v>0</v>
      </c>
      <c r="J201">
        <v>0</v>
      </c>
    </row>
    <row r="202" spans="2:10" hidden="1" x14ac:dyDescent="0.25">
      <c r="B202" t="s">
        <v>207</v>
      </c>
      <c r="C202">
        <v>100</v>
      </c>
      <c r="D202" t="s">
        <v>209</v>
      </c>
      <c r="E202">
        <v>0.21</v>
      </c>
      <c r="F202">
        <v>-13.29</v>
      </c>
      <c r="G202">
        <v>225.34</v>
      </c>
      <c r="H202">
        <v>0</v>
      </c>
      <c r="I202">
        <v>0</v>
      </c>
      <c r="J202">
        <v>0</v>
      </c>
    </row>
    <row r="203" spans="2:10" hidden="1" x14ac:dyDescent="0.25">
      <c r="B203" t="s">
        <v>207</v>
      </c>
      <c r="C203">
        <v>101</v>
      </c>
      <c r="D203" t="s">
        <v>208</v>
      </c>
      <c r="E203">
        <v>-3.7</v>
      </c>
      <c r="F203">
        <v>-81.22</v>
      </c>
      <c r="G203">
        <v>1263.1400000000001</v>
      </c>
      <c r="H203">
        <v>0</v>
      </c>
      <c r="I203">
        <v>0</v>
      </c>
      <c r="J203">
        <v>0</v>
      </c>
    </row>
    <row r="204" spans="2:10" hidden="1" x14ac:dyDescent="0.25">
      <c r="B204" t="s">
        <v>207</v>
      </c>
      <c r="C204">
        <v>101</v>
      </c>
      <c r="D204" t="s">
        <v>209</v>
      </c>
      <c r="E204">
        <v>-2.0299999999999998</v>
      </c>
      <c r="F204">
        <v>-11.05</v>
      </c>
      <c r="G204">
        <v>220.52</v>
      </c>
      <c r="H204">
        <v>0</v>
      </c>
      <c r="I204">
        <v>0</v>
      </c>
      <c r="J204">
        <v>0</v>
      </c>
    </row>
    <row r="205" spans="2:10" hidden="1" x14ac:dyDescent="0.25">
      <c r="B205" t="s">
        <v>207</v>
      </c>
      <c r="C205">
        <v>102</v>
      </c>
      <c r="D205" t="s">
        <v>208</v>
      </c>
      <c r="E205">
        <v>16.38</v>
      </c>
      <c r="F205">
        <v>-84.67</v>
      </c>
      <c r="G205">
        <v>1258.8</v>
      </c>
      <c r="H205">
        <v>0</v>
      </c>
      <c r="I205">
        <v>0</v>
      </c>
      <c r="J205">
        <v>0</v>
      </c>
    </row>
    <row r="206" spans="2:10" hidden="1" x14ac:dyDescent="0.25">
      <c r="B206" t="s">
        <v>207</v>
      </c>
      <c r="C206">
        <v>102</v>
      </c>
      <c r="D206" t="s">
        <v>209</v>
      </c>
      <c r="E206">
        <v>8.91</v>
      </c>
      <c r="F206">
        <v>-9.1300000000000008</v>
      </c>
      <c r="G206">
        <v>217.59</v>
      </c>
      <c r="H206">
        <v>0</v>
      </c>
      <c r="I206">
        <v>0</v>
      </c>
      <c r="J206">
        <v>0</v>
      </c>
    </row>
    <row r="207" spans="2:10" hidden="1" x14ac:dyDescent="0.25">
      <c r="B207" t="s">
        <v>207</v>
      </c>
      <c r="C207">
        <v>303</v>
      </c>
      <c r="D207" t="s">
        <v>208</v>
      </c>
      <c r="E207">
        <v>0</v>
      </c>
      <c r="F207">
        <v>0.05</v>
      </c>
      <c r="G207">
        <v>23723.61</v>
      </c>
      <c r="H207">
        <v>-0.223</v>
      </c>
      <c r="I207">
        <v>0</v>
      </c>
      <c r="J207">
        <v>0</v>
      </c>
    </row>
    <row r="208" spans="2:10" hidden="1" x14ac:dyDescent="0.25">
      <c r="B208" t="s">
        <v>207</v>
      </c>
      <c r="C208">
        <v>303</v>
      </c>
      <c r="D208" t="s">
        <v>209</v>
      </c>
      <c r="E208">
        <v>0</v>
      </c>
      <c r="F208">
        <v>0</v>
      </c>
      <c r="G208">
        <v>5730.34</v>
      </c>
      <c r="H208">
        <v>7.2999999999999995E-2</v>
      </c>
      <c r="I208">
        <v>0</v>
      </c>
      <c r="J208">
        <v>0</v>
      </c>
    </row>
    <row r="209" spans="2:10" x14ac:dyDescent="0.25">
      <c r="B209" t="s">
        <v>207</v>
      </c>
      <c r="C209">
        <v>304</v>
      </c>
      <c r="D209" t="s">
        <v>208</v>
      </c>
      <c r="E209">
        <v>0</v>
      </c>
      <c r="F209">
        <v>0.05</v>
      </c>
      <c r="G209">
        <v>33953.35</v>
      </c>
      <c r="H209">
        <v>-0.223</v>
      </c>
      <c r="I209">
        <v>0</v>
      </c>
      <c r="J209">
        <v>0</v>
      </c>
    </row>
    <row r="210" spans="2:10" x14ac:dyDescent="0.25">
      <c r="B210" t="s">
        <v>207</v>
      </c>
      <c r="C210">
        <v>304</v>
      </c>
      <c r="D210" t="s">
        <v>209</v>
      </c>
      <c r="E210">
        <v>0</v>
      </c>
      <c r="F210">
        <v>0</v>
      </c>
      <c r="G210">
        <v>10100.76</v>
      </c>
      <c r="H210">
        <v>7.2999999999999995E-2</v>
      </c>
      <c r="I210">
        <v>0</v>
      </c>
      <c r="J210">
        <v>0</v>
      </c>
    </row>
  </sheetData>
  <autoFilter ref="B2:J210">
    <filterColumn colId="1">
      <filters>
        <filter val="304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8"/>
  <sheetViews>
    <sheetView workbookViewId="0">
      <selection activeCell="A15" activeCellId="1" sqref="A23:XFD23 A15:XFD15"/>
    </sheetView>
  </sheetViews>
  <sheetFormatPr baseColWidth="10" defaultRowHeight="15" x14ac:dyDescent="0.25"/>
  <sheetData>
    <row r="3" spans="2:9" x14ac:dyDescent="0.25">
      <c r="B3" t="s">
        <v>198</v>
      </c>
      <c r="C3" t="s">
        <v>265</v>
      </c>
      <c r="D3" t="s">
        <v>266</v>
      </c>
      <c r="E3" t="s">
        <v>267</v>
      </c>
      <c r="F3" t="s">
        <v>268</v>
      </c>
      <c r="G3" t="s">
        <v>269</v>
      </c>
      <c r="H3" t="s">
        <v>270</v>
      </c>
      <c r="I3" t="s">
        <v>271</v>
      </c>
    </row>
    <row r="4" spans="2:9" x14ac:dyDescent="0.25">
      <c r="B4" t="s">
        <v>272</v>
      </c>
      <c r="C4" t="s">
        <v>273</v>
      </c>
      <c r="D4" t="s">
        <v>274</v>
      </c>
      <c r="E4">
        <v>123706.8</v>
      </c>
      <c r="F4">
        <v>8954369.6070000008</v>
      </c>
      <c r="G4">
        <v>1.38E-2</v>
      </c>
      <c r="H4">
        <v>31</v>
      </c>
    </row>
    <row r="5" spans="2:9" x14ac:dyDescent="0.25">
      <c r="B5" t="s">
        <v>272</v>
      </c>
      <c r="C5" t="s">
        <v>275</v>
      </c>
      <c r="D5" t="s">
        <v>274</v>
      </c>
      <c r="E5">
        <v>52759.887000000002</v>
      </c>
      <c r="F5">
        <v>8954369.6070000008</v>
      </c>
      <c r="G5">
        <v>5.8999999999999999E-3</v>
      </c>
      <c r="H5">
        <v>25</v>
      </c>
      <c r="I5">
        <v>0</v>
      </c>
    </row>
    <row r="6" spans="2:9" x14ac:dyDescent="0.25">
      <c r="B6" t="s">
        <v>272</v>
      </c>
      <c r="C6" t="s">
        <v>276</v>
      </c>
      <c r="D6" t="s">
        <v>274</v>
      </c>
      <c r="E6">
        <v>99066.952000000005</v>
      </c>
      <c r="F6">
        <v>8954369.6070000008</v>
      </c>
      <c r="G6">
        <v>1.11E-2</v>
      </c>
    </row>
    <row r="7" spans="2:9" x14ac:dyDescent="0.25">
      <c r="B7" t="s">
        <v>272</v>
      </c>
      <c r="C7" t="s">
        <v>277</v>
      </c>
      <c r="D7" t="s">
        <v>274</v>
      </c>
      <c r="E7">
        <v>456672.85</v>
      </c>
      <c r="F7">
        <v>8954369.6070000008</v>
      </c>
      <c r="G7">
        <v>5.0999999999999997E-2</v>
      </c>
    </row>
    <row r="8" spans="2:9" x14ac:dyDescent="0.25">
      <c r="B8" t="s">
        <v>278</v>
      </c>
      <c r="C8" t="s">
        <v>273</v>
      </c>
      <c r="D8" t="s">
        <v>274</v>
      </c>
      <c r="E8">
        <v>257443.20000000001</v>
      </c>
      <c r="F8">
        <v>24043612.686999999</v>
      </c>
      <c r="G8">
        <v>1.0699999999999999E-2</v>
      </c>
      <c r="H8">
        <v>69</v>
      </c>
    </row>
    <row r="9" spans="2:9" x14ac:dyDescent="0.25">
      <c r="B9" t="s">
        <v>278</v>
      </c>
      <c r="C9" t="s">
        <v>275</v>
      </c>
      <c r="D9" t="s">
        <v>274</v>
      </c>
      <c r="E9">
        <v>106352.018</v>
      </c>
      <c r="F9">
        <v>24043612.686999999</v>
      </c>
      <c r="G9">
        <v>4.4000000000000003E-3</v>
      </c>
      <c r="H9">
        <v>50</v>
      </c>
      <c r="I9">
        <v>0</v>
      </c>
    </row>
    <row r="10" spans="2:9" x14ac:dyDescent="0.25">
      <c r="B10" t="s">
        <v>278</v>
      </c>
      <c r="C10" t="s">
        <v>276</v>
      </c>
      <c r="D10" t="s">
        <v>274</v>
      </c>
      <c r="E10">
        <v>318875.886</v>
      </c>
      <c r="F10">
        <v>24043612.686999999</v>
      </c>
      <c r="G10">
        <v>1.3299999999999999E-2</v>
      </c>
    </row>
    <row r="11" spans="2:9" x14ac:dyDescent="0.25">
      <c r="B11" t="s">
        <v>278</v>
      </c>
      <c r="C11" t="s">
        <v>277</v>
      </c>
      <c r="D11" t="s">
        <v>274</v>
      </c>
      <c r="E11">
        <v>1226224.247</v>
      </c>
      <c r="F11">
        <v>24043612.686999999</v>
      </c>
      <c r="G11">
        <v>5.0999999999999997E-2</v>
      </c>
    </row>
    <row r="12" spans="2:9" x14ac:dyDescent="0.25">
      <c r="B12" t="s">
        <v>279</v>
      </c>
      <c r="C12" t="s">
        <v>273</v>
      </c>
      <c r="D12" t="s">
        <v>274</v>
      </c>
      <c r="E12">
        <v>257443.20000000001</v>
      </c>
      <c r="F12">
        <v>23484946.548999999</v>
      </c>
      <c r="G12">
        <v>1.0999999999999999E-2</v>
      </c>
      <c r="H12">
        <v>69</v>
      </c>
    </row>
    <row r="13" spans="2:9" x14ac:dyDescent="0.25">
      <c r="B13" t="s">
        <v>279</v>
      </c>
      <c r="C13" t="s">
        <v>275</v>
      </c>
      <c r="D13" t="s">
        <v>274</v>
      </c>
      <c r="E13">
        <v>109224.818</v>
      </c>
      <c r="F13">
        <v>23484946.548999999</v>
      </c>
      <c r="G13">
        <v>4.7000000000000002E-3</v>
      </c>
      <c r="H13">
        <v>51</v>
      </c>
      <c r="I13">
        <v>0</v>
      </c>
    </row>
    <row r="14" spans="2:9" x14ac:dyDescent="0.25">
      <c r="B14" t="s">
        <v>279</v>
      </c>
      <c r="C14" t="s">
        <v>276</v>
      </c>
      <c r="D14" t="s">
        <v>274</v>
      </c>
      <c r="E14">
        <v>318875.886</v>
      </c>
      <c r="F14">
        <v>23484946.548999999</v>
      </c>
      <c r="G14">
        <v>1.3599999999999999E-2</v>
      </c>
    </row>
    <row r="15" spans="2:9" x14ac:dyDescent="0.25">
      <c r="B15" t="s">
        <v>279</v>
      </c>
      <c r="C15" t="s">
        <v>277</v>
      </c>
      <c r="D15" t="s">
        <v>274</v>
      </c>
      <c r="E15">
        <v>1197732.274</v>
      </c>
      <c r="F15">
        <v>23484946.548999999</v>
      </c>
      <c r="G15">
        <v>5.0999999999999997E-2</v>
      </c>
    </row>
    <row r="16" spans="2:9" x14ac:dyDescent="0.25">
      <c r="B16" t="s">
        <v>280</v>
      </c>
      <c r="C16" t="s">
        <v>273</v>
      </c>
      <c r="D16" t="s">
        <v>274</v>
      </c>
      <c r="E16">
        <v>257443.20000000001</v>
      </c>
      <c r="F16">
        <v>23394961.548999999</v>
      </c>
      <c r="G16">
        <v>1.0999999999999999E-2</v>
      </c>
      <c r="H16">
        <v>69</v>
      </c>
    </row>
    <row r="17" spans="2:9" x14ac:dyDescent="0.25">
      <c r="B17" t="s">
        <v>280</v>
      </c>
      <c r="C17" t="s">
        <v>275</v>
      </c>
      <c r="D17" t="s">
        <v>274</v>
      </c>
      <c r="E17">
        <v>112545.13800000001</v>
      </c>
      <c r="F17">
        <v>23394961.548999999</v>
      </c>
      <c r="G17">
        <v>4.7999999999999996E-3</v>
      </c>
      <c r="H17">
        <v>53</v>
      </c>
      <c r="I17">
        <v>0</v>
      </c>
    </row>
    <row r="18" spans="2:9" x14ac:dyDescent="0.25">
      <c r="B18" t="s">
        <v>280</v>
      </c>
      <c r="C18" t="s">
        <v>276</v>
      </c>
      <c r="D18" t="s">
        <v>274</v>
      </c>
      <c r="E18">
        <v>318875.886</v>
      </c>
      <c r="F18">
        <v>23394961.548999999</v>
      </c>
      <c r="G18">
        <v>1.3599999999999999E-2</v>
      </c>
    </row>
    <row r="19" spans="2:9" x14ac:dyDescent="0.25">
      <c r="B19" t="s">
        <v>280</v>
      </c>
      <c r="C19" t="s">
        <v>277</v>
      </c>
      <c r="D19" t="s">
        <v>274</v>
      </c>
      <c r="E19">
        <v>1193143.0390000001</v>
      </c>
      <c r="F19">
        <v>23394961.548999999</v>
      </c>
      <c r="G19">
        <v>5.0999999999999997E-2</v>
      </c>
    </row>
    <row r="20" spans="2:9" x14ac:dyDescent="0.25">
      <c r="B20" t="s">
        <v>281</v>
      </c>
      <c r="C20" t="s">
        <v>273</v>
      </c>
      <c r="D20" t="s">
        <v>274</v>
      </c>
      <c r="E20">
        <v>257443.20000000001</v>
      </c>
      <c r="F20">
        <v>20665718.41</v>
      </c>
      <c r="G20">
        <v>1.2500000000000001E-2</v>
      </c>
      <c r="H20">
        <v>69</v>
      </c>
    </row>
    <row r="21" spans="2:9" x14ac:dyDescent="0.25">
      <c r="B21" t="s">
        <v>281</v>
      </c>
      <c r="C21" t="s">
        <v>275</v>
      </c>
      <c r="D21" t="s">
        <v>274</v>
      </c>
      <c r="E21">
        <v>115394.22199999999</v>
      </c>
      <c r="F21">
        <v>20665718.41</v>
      </c>
      <c r="G21">
        <v>5.5999999999999999E-3</v>
      </c>
      <c r="H21">
        <v>52</v>
      </c>
      <c r="I21">
        <v>0</v>
      </c>
    </row>
    <row r="22" spans="2:9" x14ac:dyDescent="0.25">
      <c r="B22" t="s">
        <v>281</v>
      </c>
      <c r="C22" t="s">
        <v>276</v>
      </c>
      <c r="D22" t="s">
        <v>274</v>
      </c>
      <c r="E22">
        <v>318875.886</v>
      </c>
      <c r="F22">
        <v>20665718.41</v>
      </c>
      <c r="G22">
        <v>1.54E-2</v>
      </c>
    </row>
    <row r="23" spans="2:9" x14ac:dyDescent="0.25">
      <c r="B23" t="s">
        <v>281</v>
      </c>
      <c r="C23" t="s">
        <v>277</v>
      </c>
      <c r="D23" t="s">
        <v>274</v>
      </c>
      <c r="E23">
        <v>1053951.639</v>
      </c>
      <c r="F23">
        <v>20665718.41</v>
      </c>
      <c r="G23">
        <v>5.0999999999999997E-2</v>
      </c>
    </row>
    <row r="24" spans="2:9" x14ac:dyDescent="0.25">
      <c r="B24" t="s">
        <v>282</v>
      </c>
      <c r="C24" t="s">
        <v>273</v>
      </c>
      <c r="D24" t="s">
        <v>274</v>
      </c>
      <c r="E24">
        <v>1153479.6000000001</v>
      </c>
      <c r="F24">
        <v>100543608.8</v>
      </c>
      <c r="G24">
        <v>1.15E-2</v>
      </c>
      <c r="H24">
        <v>307</v>
      </c>
    </row>
    <row r="25" spans="2:9" x14ac:dyDescent="0.25">
      <c r="B25" t="s">
        <v>282</v>
      </c>
      <c r="C25" t="s">
        <v>275</v>
      </c>
      <c r="D25" t="s">
        <v>274</v>
      </c>
      <c r="E25">
        <v>496276.08199999999</v>
      </c>
      <c r="F25">
        <v>100543608.8</v>
      </c>
      <c r="G25">
        <v>4.8999999999999998E-3</v>
      </c>
      <c r="H25">
        <v>231</v>
      </c>
      <c r="I25">
        <v>0</v>
      </c>
    </row>
    <row r="26" spans="2:9" x14ac:dyDescent="0.25">
      <c r="B26" t="s">
        <v>282</v>
      </c>
      <c r="C26" t="s">
        <v>276</v>
      </c>
      <c r="D26" t="s">
        <v>274</v>
      </c>
      <c r="E26">
        <v>1374570.496</v>
      </c>
      <c r="F26">
        <v>100543608.8</v>
      </c>
      <c r="G26">
        <v>1.37E-2</v>
      </c>
    </row>
    <row r="27" spans="2:9" x14ac:dyDescent="0.25">
      <c r="B27" t="s">
        <v>282</v>
      </c>
      <c r="C27" t="s">
        <v>277</v>
      </c>
      <c r="D27" t="s">
        <v>274</v>
      </c>
      <c r="E27">
        <v>5127724.0489999996</v>
      </c>
      <c r="F27">
        <v>100543608.8</v>
      </c>
      <c r="G27">
        <v>5.0999999999999997E-2</v>
      </c>
    </row>
    <row r="28" spans="2:9" x14ac:dyDescent="0.25">
      <c r="B28" t="s">
        <v>283</v>
      </c>
      <c r="C28" t="s">
        <v>284</v>
      </c>
      <c r="D28" t="s">
        <v>284</v>
      </c>
      <c r="E28">
        <v>8152050.227</v>
      </c>
      <c r="F28">
        <v>100543608.8</v>
      </c>
      <c r="G28">
        <v>8.1100000000000005E-2</v>
      </c>
      <c r="H28">
        <v>538</v>
      </c>
      <c r="I2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Zap. Centrica Aislada</vt:lpstr>
      <vt:lpstr>Combinada Rectangular</vt:lpstr>
      <vt:lpstr>Parametros</vt:lpstr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SAHEP PERÚ</dc:creator>
  <cp:lastModifiedBy>Alex Henrry Palomino Encinas</cp:lastModifiedBy>
  <cp:lastPrinted>2012-06-10T00:27:11Z</cp:lastPrinted>
  <dcterms:created xsi:type="dcterms:W3CDTF">2012-04-09T14:55:58Z</dcterms:created>
  <dcterms:modified xsi:type="dcterms:W3CDTF">2015-03-19T03:10:47Z</dcterms:modified>
</cp:coreProperties>
</file>