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45" windowWidth="15135" windowHeight="8130" firstSheet="1" activeTab="1"/>
  </bookViews>
  <sheets>
    <sheet name="Calculos" sheetId="4" state="hidden" r:id="rId1"/>
    <sheet name="analisis de Vigas " sheetId="1" r:id="rId2"/>
    <sheet name="Vigas tipo 1" sheetId="7" r:id="rId3"/>
    <sheet name="Vigas tipo 2" sheetId="5" r:id="rId4"/>
  </sheets>
  <calcPr calcId="144525"/>
</workbook>
</file>

<file path=xl/calcChain.xml><?xml version="1.0" encoding="utf-8"?>
<calcChain xmlns="http://schemas.openxmlformats.org/spreadsheetml/2006/main">
  <c r="O23" i="4" l="1"/>
  <c r="O22" i="4"/>
  <c r="O21" i="4"/>
  <c r="O20" i="4"/>
  <c r="O19" i="4"/>
  <c r="O18" i="4"/>
  <c r="O60" i="1"/>
  <c r="M60" i="1"/>
  <c r="K60" i="1"/>
  <c r="O57" i="1"/>
  <c r="K23" i="4"/>
  <c r="K22" i="4"/>
  <c r="K21" i="4"/>
  <c r="K20" i="4"/>
  <c r="K19" i="4"/>
  <c r="K18" i="4"/>
  <c r="O16" i="4"/>
  <c r="O15" i="4"/>
  <c r="O14" i="4"/>
  <c r="O13" i="4"/>
  <c r="O12" i="4"/>
  <c r="O11" i="4"/>
  <c r="O9" i="4"/>
  <c r="O8" i="4"/>
  <c r="O7" i="4"/>
  <c r="O6" i="4"/>
  <c r="O5" i="4"/>
  <c r="O4" i="4"/>
  <c r="M57" i="1"/>
  <c r="K57" i="1"/>
  <c r="K16" i="4"/>
  <c r="K15" i="4"/>
  <c r="K14" i="4"/>
  <c r="K13" i="4"/>
  <c r="K12" i="4"/>
  <c r="K11" i="4"/>
  <c r="K9" i="4"/>
  <c r="K8" i="4"/>
  <c r="K7" i="4"/>
  <c r="K6" i="4"/>
  <c r="K5" i="4"/>
  <c r="K4" i="4"/>
  <c r="H52" i="1" l="1"/>
  <c r="H57" i="1"/>
  <c r="H20" i="4"/>
  <c r="A9" i="5"/>
  <c r="A10" i="7"/>
  <c r="A9" i="1"/>
  <c r="F18" i="5"/>
  <c r="D25" i="5"/>
  <c r="E23" i="5"/>
  <c r="F21" i="5"/>
  <c r="C19" i="5"/>
  <c r="E16" i="5"/>
  <c r="E17" i="7"/>
  <c r="E24" i="7"/>
  <c r="F22" i="7"/>
  <c r="D26" i="7"/>
  <c r="C20" i="7"/>
  <c r="A14" i="7"/>
  <c r="A12" i="7"/>
  <c r="D8" i="7"/>
  <c r="D31" i="7" s="1"/>
  <c r="A13" i="5"/>
  <c r="A11" i="5"/>
  <c r="B17" i="4" s="1"/>
  <c r="D7" i="5"/>
  <c r="D33" i="7" l="1"/>
  <c r="E33" i="7" s="1"/>
  <c r="F8" i="4"/>
  <c r="D35" i="7"/>
  <c r="D36" i="7" s="1"/>
  <c r="D30" i="7"/>
  <c r="B18" i="4"/>
  <c r="B19" i="4" s="1"/>
  <c r="B20" i="4" s="1"/>
  <c r="B23" i="4"/>
  <c r="B25" i="4"/>
  <c r="C31" i="5"/>
  <c r="B26" i="4" s="1"/>
  <c r="D7" i="1"/>
  <c r="F20" i="1" s="1"/>
  <c r="A13" i="1"/>
  <c r="G26" i="1"/>
  <c r="H23" i="1"/>
  <c r="H15" i="1"/>
  <c r="E19" i="1"/>
  <c r="A11" i="1"/>
  <c r="C16" i="1"/>
  <c r="F12" i="4" l="1"/>
  <c r="H10" i="4"/>
  <c r="F11" i="4"/>
  <c r="F14" i="4" s="1"/>
  <c r="C20" i="1" s="1"/>
  <c r="C22" i="1" s="1"/>
  <c r="H15" i="4" s="1"/>
  <c r="D32" i="7"/>
  <c r="D34" i="7" s="1"/>
  <c r="B21" i="4"/>
  <c r="B22" i="4" s="1"/>
  <c r="C22" i="4" s="1"/>
  <c r="B28" i="4"/>
  <c r="B27" i="4"/>
  <c r="C27" i="4" s="1"/>
  <c r="C19" i="1"/>
  <c r="C21" i="1" s="1"/>
  <c r="C8" i="4" s="1"/>
  <c r="E34" i="7" l="1"/>
  <c r="F34" i="7" s="1"/>
  <c r="B29" i="4"/>
  <c r="C32" i="5" s="1"/>
  <c r="E32" i="5" s="1"/>
  <c r="C33" i="5"/>
  <c r="B31" i="4"/>
  <c r="B32" i="4" s="1"/>
  <c r="B33" i="4" s="1"/>
  <c r="C29" i="4"/>
  <c r="C9" i="4"/>
  <c r="C10" i="4" s="1"/>
  <c r="A19" i="1"/>
  <c r="C23" i="1"/>
  <c r="B24" i="1" l="1"/>
  <c r="F15" i="4"/>
  <c r="G14" i="4" s="1"/>
  <c r="C18" i="1" s="1"/>
  <c r="B34" i="4"/>
  <c r="C34" i="4" s="1"/>
  <c r="C35" i="5" s="1"/>
  <c r="C33" i="4"/>
  <c r="C34" i="5" s="1"/>
  <c r="C15" i="4"/>
  <c r="B25" i="1"/>
  <c r="B30" i="1" s="1"/>
  <c r="A15" i="1" l="1"/>
  <c r="C11" i="4"/>
  <c r="C12" i="4" s="1"/>
  <c r="C14" i="4" l="1"/>
  <c r="C13" i="4"/>
  <c r="C35" i="1" l="1"/>
  <c r="C33" i="1" s="1"/>
  <c r="C36" i="1" l="1"/>
  <c r="E50" i="1"/>
  <c r="J52" i="1" s="1"/>
  <c r="C37" i="1" l="1"/>
  <c r="E55" i="1"/>
  <c r="J57" i="1" s="1"/>
  <c r="E36" i="1"/>
  <c r="E37" i="1" l="1"/>
  <c r="H11" i="4"/>
  <c r="H12" i="4" s="1"/>
</calcChain>
</file>

<file path=xl/comments1.xml><?xml version="1.0" encoding="utf-8"?>
<comments xmlns="http://schemas.openxmlformats.org/spreadsheetml/2006/main">
  <authors>
    <author>JUSTY</author>
  </authors>
  <commentList>
    <comment ref="D5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Ancho de la seccion de viga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Recubrimiento de concreto para el refuerzo</t>
        </r>
      </text>
    </comment>
    <comment ref="D6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Alto de la seccion de viga</t>
        </r>
      </text>
    </comment>
    <comment ref="F6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Recubrimiento de concreto para el refuerzo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 xml:space="preserve">JUSTY: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Peralte de la seccion de viga</t>
        </r>
      </text>
    </comment>
    <comment ref="B17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ACERO DE TRACCION REQUERIDO :</t>
        </r>
      </text>
    </comment>
  </commentList>
</comments>
</file>

<file path=xl/comments2.xml><?xml version="1.0" encoding="utf-8"?>
<comments xmlns="http://schemas.openxmlformats.org/spreadsheetml/2006/main">
  <authors>
    <author>JUSTY</author>
  </authors>
  <commentList>
    <comment ref="D6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Ancho de la seccion de viga</t>
        </r>
      </text>
    </comment>
    <comment ref="F6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Recubrimiento de concreto para el refuerzo</t>
        </r>
      </text>
    </comment>
    <comment ref="D7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Alto de la seccion de viga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Recubrimiento de concreto para el refuerzo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 xml:space="preserve">JUSTY: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Peralte de la seccion de viga</t>
        </r>
      </text>
    </comment>
  </commentList>
</comments>
</file>

<file path=xl/comments3.xml><?xml version="1.0" encoding="utf-8"?>
<comments xmlns="http://schemas.openxmlformats.org/spreadsheetml/2006/main">
  <authors>
    <author>JUSTY</author>
  </authors>
  <commentList>
    <comment ref="D5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Ancho de la seccion de viga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Recubrimiento de concreto para el refuerzo</t>
        </r>
      </text>
    </comment>
    <comment ref="D6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Alto de la seccion de viga</t>
        </r>
      </text>
    </comment>
    <comment ref="F6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Recubrimiento de concreto para el refuerzo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 xml:space="preserve">JUSTY: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Peralte de la seccion de viga</t>
        </r>
      </text>
    </comment>
  </commentList>
</comments>
</file>

<file path=xl/sharedStrings.xml><?xml version="1.0" encoding="utf-8"?>
<sst xmlns="http://schemas.openxmlformats.org/spreadsheetml/2006/main" count="159" uniqueCount="108">
  <si>
    <t>Peralte efectivo(cm) d=</t>
  </si>
  <si>
    <t>GEOMETRIA DEL ELEMENTO</t>
  </si>
  <si>
    <t>Tn-m</t>
  </si>
  <si>
    <t>CONCRETO  f'c =</t>
  </si>
  <si>
    <t>Ancho (cm)                    b=</t>
  </si>
  <si>
    <t>Altura (cm)                    h=</t>
  </si>
  <si>
    <t>Factor de Sismo 0.75pb ó 0.50pb =</t>
  </si>
  <si>
    <t>ACERO fy =</t>
  </si>
  <si>
    <t>cm</t>
  </si>
  <si>
    <t>DATOS RESULTANTES PARA LAS CONDICIONES MAXIMAS DE REGLAMENTO BALANCEADA</t>
  </si>
  <si>
    <t>a</t>
  </si>
  <si>
    <t>As</t>
  </si>
  <si>
    <r>
      <t>M</t>
    </r>
    <r>
      <rPr>
        <sz val="9"/>
        <color theme="1"/>
        <rFont val="Calibri"/>
        <family val="2"/>
        <scheme val="minor"/>
      </rPr>
      <t>u1</t>
    </r>
  </si>
  <si>
    <r>
      <t>A</t>
    </r>
    <r>
      <rPr>
        <sz val="9"/>
        <color theme="1"/>
        <rFont val="Calibri"/>
        <family val="2"/>
        <scheme val="minor"/>
      </rPr>
      <t>s1</t>
    </r>
  </si>
  <si>
    <r>
      <t>M</t>
    </r>
    <r>
      <rPr>
        <sz val="9"/>
        <color theme="1"/>
        <rFont val="Calibri"/>
        <family val="2"/>
        <scheme val="minor"/>
      </rPr>
      <t>u2</t>
    </r>
  </si>
  <si>
    <r>
      <t>A</t>
    </r>
    <r>
      <rPr>
        <sz val="9"/>
        <color theme="1"/>
        <rFont val="Calibri"/>
        <family val="2"/>
        <scheme val="minor"/>
      </rPr>
      <t>s2</t>
    </r>
  </si>
  <si>
    <r>
      <t>A'</t>
    </r>
    <r>
      <rPr>
        <sz val="9"/>
        <color theme="1"/>
        <rFont val="Calibri"/>
        <family val="2"/>
        <scheme val="minor"/>
      </rPr>
      <t>s</t>
    </r>
  </si>
  <si>
    <t>ACERO A TRACCION</t>
  </si>
  <si>
    <r>
      <t>cm</t>
    </r>
    <r>
      <rPr>
        <b/>
        <sz val="11"/>
        <rFont val="Calibri"/>
        <family val="2"/>
      </rPr>
      <t>²</t>
    </r>
  </si>
  <si>
    <r>
      <t xml:space="preserve">     a</t>
    </r>
    <r>
      <rPr>
        <b/>
        <vertAlign val="subscript"/>
        <sz val="14"/>
        <color theme="0"/>
        <rFont val="Arial"/>
        <family val="2"/>
      </rPr>
      <t xml:space="preserve"> =</t>
    </r>
  </si>
  <si>
    <r>
      <t xml:space="preserve">    As</t>
    </r>
    <r>
      <rPr>
        <b/>
        <vertAlign val="subscript"/>
        <sz val="14"/>
        <color theme="0"/>
        <rFont val="Arial"/>
        <family val="2"/>
      </rPr>
      <t xml:space="preserve"> =</t>
    </r>
  </si>
  <si>
    <t>CON  LOS VALORES DE As BUSCAREMOS TIPOS DE ACERO A TRACCION</t>
  </si>
  <si>
    <t>CON  LOS VALORES DE A's BUSCAREMOS TIPOS DE ACERO A COMPRESION</t>
  </si>
  <si>
    <r>
      <t>Kg/cm</t>
    </r>
    <r>
      <rPr>
        <b/>
        <vertAlign val="superscript"/>
        <sz val="10"/>
        <rFont val="Arial"/>
        <family val="2"/>
      </rPr>
      <t>2</t>
    </r>
  </si>
  <si>
    <t xml:space="preserve">    f 's=</t>
  </si>
  <si>
    <r>
      <t xml:space="preserve">     A's</t>
    </r>
    <r>
      <rPr>
        <b/>
        <vertAlign val="subscript"/>
        <sz val="12"/>
        <color theme="0"/>
        <rFont val="Arial"/>
        <family val="2"/>
      </rPr>
      <t xml:space="preserve"> =</t>
    </r>
  </si>
  <si>
    <t>ELECCION DEL TIPO DE ACERO A UTILIZAR</t>
  </si>
  <si>
    <t>No</t>
  </si>
  <si>
    <t>DIAMETRO</t>
  </si>
  <si>
    <t>AREA</t>
  </si>
  <si>
    <t>cm2</t>
  </si>
  <si>
    <t>LISO</t>
  </si>
  <si>
    <r>
      <t>ACEROS DISPONIBLES EN cm</t>
    </r>
    <r>
      <rPr>
        <b/>
        <sz val="11"/>
        <color theme="1"/>
        <rFont val="Arial"/>
        <family val="2"/>
      </rPr>
      <t>²</t>
    </r>
  </si>
  <si>
    <t xml:space="preserve">  6 mm</t>
  </si>
  <si>
    <t xml:space="preserve">  1/4"</t>
  </si>
  <si>
    <t xml:space="preserve">  8 mm</t>
  </si>
  <si>
    <t xml:space="preserve">  3/8"</t>
  </si>
  <si>
    <t xml:space="preserve">  12 mm</t>
  </si>
  <si>
    <t xml:space="preserve">  1/2"</t>
  </si>
  <si>
    <t xml:space="preserve">  5/8"</t>
  </si>
  <si>
    <t xml:space="preserve">  3/4"</t>
  </si>
  <si>
    <t xml:space="preserve">  1"</t>
  </si>
  <si>
    <t xml:space="preserve">  1 3/8"</t>
  </si>
  <si>
    <t xml:space="preserve">  7/8"</t>
  </si>
  <si>
    <t xml:space="preserve">  1 1/8"</t>
  </si>
  <si>
    <t xml:space="preserve">  1 1/4"</t>
  </si>
  <si>
    <t>Ø  (pulg)</t>
  </si>
  <si>
    <r>
      <t xml:space="preserve">        p</t>
    </r>
    <r>
      <rPr>
        <b/>
        <vertAlign val="subscript"/>
        <sz val="12"/>
        <color theme="0"/>
        <rFont val="Arial"/>
        <family val="2"/>
      </rPr>
      <t xml:space="preserve"> =</t>
    </r>
  </si>
  <si>
    <r>
      <t xml:space="preserve">      b</t>
    </r>
    <r>
      <rPr>
        <b/>
        <vertAlign val="subscript"/>
        <sz val="12"/>
        <color theme="0"/>
        <rFont val="Arial"/>
        <family val="2"/>
      </rPr>
      <t>1 =</t>
    </r>
  </si>
  <si>
    <t>c</t>
  </si>
  <si>
    <r>
      <t xml:space="preserve">Recubrim </t>
    </r>
    <r>
      <rPr>
        <b/>
        <sz val="11"/>
        <color theme="1"/>
        <rFont val="Arial"/>
        <family val="2"/>
      </rPr>
      <t>↑</t>
    </r>
  </si>
  <si>
    <r>
      <t xml:space="preserve">Recubrim </t>
    </r>
    <r>
      <rPr>
        <b/>
        <sz val="11"/>
        <color theme="1"/>
        <rFont val="Arial"/>
        <family val="2"/>
      </rPr>
      <t>↓</t>
    </r>
  </si>
  <si>
    <r>
      <t>A's (cm</t>
    </r>
    <r>
      <rPr>
        <b/>
        <sz val="12"/>
        <color rgb="FFFFFFFF"/>
        <rFont val="Arial"/>
        <family val="2"/>
      </rPr>
      <t>²</t>
    </r>
    <r>
      <rPr>
        <b/>
        <sz val="12"/>
        <color rgb="FFFFFFFF"/>
        <rFont val="Calibri"/>
        <family val="2"/>
        <scheme val="minor"/>
      </rPr>
      <t>) =</t>
    </r>
  </si>
  <si>
    <t xml:space="preserve"> As (cm²) =</t>
  </si>
  <si>
    <r>
      <t xml:space="preserve">     p</t>
    </r>
    <r>
      <rPr>
        <b/>
        <vertAlign val="subscript"/>
        <sz val="12"/>
        <color theme="0"/>
        <rFont val="Arial"/>
        <family val="2"/>
      </rPr>
      <t>max =</t>
    </r>
  </si>
  <si>
    <r>
      <t xml:space="preserve">     p</t>
    </r>
    <r>
      <rPr>
        <b/>
        <vertAlign val="subscript"/>
        <sz val="12"/>
        <color theme="0"/>
        <rFont val="Arial"/>
        <family val="2"/>
      </rPr>
      <t>min =</t>
    </r>
  </si>
  <si>
    <r>
      <t xml:space="preserve">      pb</t>
    </r>
    <r>
      <rPr>
        <b/>
        <vertAlign val="subscript"/>
        <sz val="11"/>
        <color theme="0"/>
        <rFont val="Arial"/>
        <family val="2"/>
      </rPr>
      <t xml:space="preserve"> =</t>
    </r>
  </si>
  <si>
    <t>T</t>
  </si>
  <si>
    <t>Cs</t>
  </si>
  <si>
    <t>Cc</t>
  </si>
  <si>
    <t>f's</t>
  </si>
  <si>
    <t>fy</t>
  </si>
  <si>
    <t>A</t>
  </si>
  <si>
    <t>B</t>
  </si>
  <si>
    <t>C</t>
  </si>
  <si>
    <t>a1</t>
  </si>
  <si>
    <t>a2</t>
  </si>
  <si>
    <t>f's2</t>
  </si>
  <si>
    <t>nuevos</t>
  </si>
  <si>
    <t>Mn</t>
  </si>
  <si>
    <t>Mu</t>
  </si>
  <si>
    <t>Factor reduccion de capacidad (ø)                 =</t>
  </si>
  <si>
    <r>
      <t xml:space="preserve">     Mn</t>
    </r>
    <r>
      <rPr>
        <b/>
        <vertAlign val="subscript"/>
        <sz val="12"/>
        <color theme="0"/>
        <rFont val="Arial"/>
        <family val="2"/>
      </rPr>
      <t xml:space="preserve"> =</t>
    </r>
  </si>
  <si>
    <r>
      <t xml:space="preserve">    Mu</t>
    </r>
    <r>
      <rPr>
        <b/>
        <vertAlign val="subscript"/>
        <sz val="12"/>
        <color theme="0"/>
        <rFont val="Arial"/>
        <family val="2"/>
      </rPr>
      <t xml:space="preserve"> =</t>
    </r>
  </si>
  <si>
    <t>Tn_m</t>
  </si>
  <si>
    <r>
      <t xml:space="preserve">      f's</t>
    </r>
    <r>
      <rPr>
        <b/>
        <vertAlign val="subscript"/>
        <sz val="12"/>
        <color theme="0"/>
        <rFont val="Arial"/>
        <family val="2"/>
      </rPr>
      <t xml:space="preserve"> =</t>
    </r>
  </si>
  <si>
    <r>
      <t>kg/cm</t>
    </r>
    <r>
      <rPr>
        <b/>
        <sz val="11"/>
        <rFont val="Arial"/>
        <family val="2"/>
      </rPr>
      <t>²</t>
    </r>
  </si>
  <si>
    <r>
      <t xml:space="preserve">       a</t>
    </r>
    <r>
      <rPr>
        <b/>
        <vertAlign val="subscript"/>
        <sz val="12"/>
        <color theme="0"/>
        <rFont val="Arial"/>
        <family val="2"/>
      </rPr>
      <t xml:space="preserve"> =</t>
    </r>
  </si>
  <si>
    <r>
      <t xml:space="preserve">     Mu</t>
    </r>
    <r>
      <rPr>
        <b/>
        <vertAlign val="subscript"/>
        <sz val="12"/>
        <color theme="0"/>
        <rFont val="Arial"/>
        <family val="2"/>
      </rPr>
      <t xml:space="preserve"> =</t>
    </r>
  </si>
  <si>
    <t>MOMENTO DE DISEÑO</t>
  </si>
  <si>
    <t>As =</t>
  </si>
  <si>
    <t>A's =</t>
  </si>
  <si>
    <r>
      <t xml:space="preserve">     p</t>
    </r>
    <r>
      <rPr>
        <b/>
        <vertAlign val="subscript"/>
        <sz val="11"/>
        <color theme="0"/>
        <rFont val="Arial"/>
        <family val="2"/>
      </rPr>
      <t>min =</t>
    </r>
  </si>
  <si>
    <t>FY</t>
  </si>
  <si>
    <t>F's</t>
  </si>
  <si>
    <t>Pmin</t>
  </si>
  <si>
    <t>P</t>
  </si>
  <si>
    <t>ACERO A TRACCION :</t>
  </si>
  <si>
    <t>ACERO A COMPRESION :</t>
  </si>
  <si>
    <t>TOTAL</t>
  </si>
  <si>
    <t>ELEGIR QUE TIPO DE ACERO COLOCARA EN TRACCION O COMPRESION</t>
  </si>
  <si>
    <t>+</t>
  </si>
  <si>
    <t>=</t>
  </si>
  <si>
    <t>RESULTADOS</t>
  </si>
  <si>
    <r>
      <t xml:space="preserve">    b</t>
    </r>
    <r>
      <rPr>
        <b/>
        <vertAlign val="subscript"/>
        <sz val="12"/>
        <color theme="0"/>
        <rFont val="Arial"/>
        <family val="2"/>
      </rPr>
      <t>1 =</t>
    </r>
  </si>
  <si>
    <r>
      <t xml:space="preserve">    As</t>
    </r>
    <r>
      <rPr>
        <b/>
        <vertAlign val="subscript"/>
        <sz val="12"/>
        <color theme="0"/>
        <rFont val="Arial"/>
        <family val="2"/>
      </rPr>
      <t xml:space="preserve"> =</t>
    </r>
  </si>
  <si>
    <r>
      <t xml:space="preserve"> A</t>
    </r>
    <r>
      <rPr>
        <b/>
        <sz val="11"/>
        <color theme="0"/>
        <rFont val="Arial"/>
        <family val="2"/>
      </rPr>
      <t>min</t>
    </r>
    <r>
      <rPr>
        <b/>
        <vertAlign val="subscript"/>
        <sz val="14"/>
        <color theme="0"/>
        <rFont val="Arial"/>
        <family val="2"/>
      </rPr>
      <t xml:space="preserve"> =</t>
    </r>
  </si>
  <si>
    <r>
      <t>A</t>
    </r>
    <r>
      <rPr>
        <b/>
        <sz val="11"/>
        <color theme="0"/>
        <rFont val="Arial"/>
        <family val="2"/>
      </rPr>
      <t>max</t>
    </r>
    <r>
      <rPr>
        <b/>
        <vertAlign val="subscript"/>
        <sz val="14"/>
        <color theme="0"/>
        <rFont val="Arial"/>
        <family val="2"/>
      </rPr>
      <t xml:space="preserve"> =</t>
    </r>
  </si>
  <si>
    <r>
      <t>p</t>
    </r>
    <r>
      <rPr>
        <b/>
        <vertAlign val="subscript"/>
        <sz val="14"/>
        <color theme="0"/>
        <rFont val="Arial"/>
        <family val="2"/>
      </rPr>
      <t>max =</t>
    </r>
  </si>
  <si>
    <r>
      <t xml:space="preserve">  pb</t>
    </r>
    <r>
      <rPr>
        <b/>
        <vertAlign val="subscript"/>
        <sz val="12"/>
        <color theme="0"/>
        <rFont val="Arial"/>
        <family val="2"/>
      </rPr>
      <t xml:space="preserve"> =</t>
    </r>
  </si>
  <si>
    <r>
      <t xml:space="preserve"> p</t>
    </r>
    <r>
      <rPr>
        <b/>
        <vertAlign val="subscript"/>
        <sz val="14"/>
        <color theme="0"/>
        <rFont val="Arial"/>
        <family val="2"/>
      </rPr>
      <t>min =</t>
    </r>
  </si>
  <si>
    <r>
      <t xml:space="preserve">   p</t>
    </r>
    <r>
      <rPr>
        <b/>
        <vertAlign val="subscript"/>
        <sz val="12"/>
        <color theme="0"/>
        <rFont val="Arial"/>
        <family val="2"/>
      </rPr>
      <t xml:space="preserve"> =</t>
    </r>
  </si>
  <si>
    <t>Factor reduccion de capacidad (ø)         =</t>
  </si>
  <si>
    <t>Momento act en la viga =</t>
  </si>
  <si>
    <t>Peralte efec (cm) d=</t>
  </si>
  <si>
    <t>Ancho (cm)            b=</t>
  </si>
  <si>
    <t>Altura (cm)             h=</t>
  </si>
  <si>
    <t>El momento maximo positivo que obtenemos con el metrado de cargas en la parte central de la viga es de 6.85 tn-m, por lo que se concluye que la viga esta sobredimencionada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</si>
</sst>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00"/>
    <numFmt numFmtId="165" formatCode="_(* #,##0.000_);_(* \(#,##0.000\);_(* &quot;-&quot;??_);_(@_)"/>
    <numFmt numFmtId="166" formatCode="_(* #,##0.00_);_(* \(#,##0.00\);_(* &quot;-&quot;??_);_(@_)"/>
    <numFmt numFmtId="167" formatCode="#,##0.00000"/>
  </numFmts>
  <fonts count="45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name val="Cambria Math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20"/>
      <color rgb="FF92D050"/>
      <name val="Arial Black"/>
      <family val="2"/>
    </font>
    <font>
      <sz val="11"/>
      <color theme="1"/>
      <name val="Cambria Math"/>
      <family val="1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b/>
      <vertAlign val="subscript"/>
      <sz val="12"/>
      <color theme="0"/>
      <name val="Arial"/>
      <family val="2"/>
    </font>
    <font>
      <b/>
      <vertAlign val="subscript"/>
      <sz val="14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2"/>
      <color rgb="FFFFFFFF"/>
      <name val="Arial"/>
      <family val="2"/>
    </font>
    <font>
      <b/>
      <vertAlign val="subscript"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8"/>
      <color rgb="FF0000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theme="3" tint="0.39991454817346722"/>
      </left>
      <right/>
      <top style="double">
        <color theme="3" tint="0.39991454817346722"/>
      </top>
      <bottom style="thin">
        <color indexed="64"/>
      </bottom>
      <diagonal/>
    </border>
    <border>
      <left/>
      <right/>
      <top style="double">
        <color theme="3" tint="0.39991454817346722"/>
      </top>
      <bottom style="thin">
        <color indexed="64"/>
      </bottom>
      <diagonal/>
    </border>
    <border>
      <left/>
      <right style="double">
        <color theme="3" tint="0.39991454817346722"/>
      </right>
      <top style="double">
        <color theme="3" tint="0.39991454817346722"/>
      </top>
      <bottom/>
      <diagonal/>
    </border>
    <border>
      <left style="thin">
        <color indexed="64"/>
      </left>
      <right style="double">
        <color theme="3" tint="0.39991454817346722"/>
      </right>
      <top style="thin">
        <color indexed="64"/>
      </top>
      <bottom style="thin">
        <color indexed="64"/>
      </bottom>
      <diagonal/>
    </border>
    <border>
      <left style="double">
        <color theme="3" tint="0.399914548173467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3" tint="0.39991454817346722"/>
      </right>
      <top/>
      <bottom/>
      <diagonal/>
    </border>
    <border>
      <left style="double">
        <color theme="3" tint="0.39991454817346722"/>
      </left>
      <right/>
      <top style="thin">
        <color indexed="64"/>
      </top>
      <bottom style="double">
        <color theme="3" tint="0.39991454817346722"/>
      </bottom>
      <diagonal/>
    </border>
    <border>
      <left/>
      <right/>
      <top style="thin">
        <color indexed="64"/>
      </top>
      <bottom style="double">
        <color theme="3" tint="0.39991454817346722"/>
      </bottom>
      <diagonal/>
    </border>
    <border>
      <left/>
      <right style="double">
        <color theme="3" tint="0.39991454817346722"/>
      </right>
      <top/>
      <bottom style="double">
        <color theme="3" tint="0.399914548173467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3" tint="0.39994506668294322"/>
      </left>
      <right style="thin">
        <color indexed="64"/>
      </right>
      <top style="double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3" tint="0.39994506668294322"/>
      </top>
      <bottom style="thin">
        <color indexed="64"/>
      </bottom>
      <diagonal/>
    </border>
    <border>
      <left style="thin">
        <color indexed="64"/>
      </left>
      <right style="double">
        <color theme="3" tint="0.39994506668294322"/>
      </right>
      <top style="double">
        <color theme="3" tint="0.39994506668294322"/>
      </top>
      <bottom style="thin">
        <color indexed="64"/>
      </bottom>
      <diagonal/>
    </border>
    <border>
      <left style="double">
        <color theme="3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thin">
        <color indexed="64"/>
      </right>
      <top style="thin">
        <color indexed="64"/>
      </top>
      <bottom style="double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3" tint="0.39994506668294322"/>
      </bottom>
      <diagonal/>
    </border>
    <border>
      <left style="thin">
        <color indexed="64"/>
      </left>
      <right style="double">
        <color theme="3" tint="0.39994506668294322"/>
      </right>
      <top style="thin">
        <color indexed="64"/>
      </top>
      <bottom style="double">
        <color theme="3" tint="0.39994506668294322"/>
      </bottom>
      <diagonal/>
    </border>
    <border>
      <left style="double">
        <color theme="3" tint="0.39994506668294322"/>
      </left>
      <right/>
      <top style="double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double">
        <color theme="3" tint="0.39994506668294322"/>
      </top>
      <bottom style="thin">
        <color indexed="64"/>
      </bottom>
      <diagonal/>
    </border>
    <border>
      <left style="thin">
        <color indexed="64"/>
      </left>
      <right style="double">
        <color theme="3" tint="0.39991454817346722"/>
      </right>
      <top style="double">
        <color theme="3" tint="0.39994506668294322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 style="medium">
        <color indexed="64"/>
      </bottom>
      <diagonal/>
    </border>
    <border>
      <left/>
      <right style="thick">
        <color theme="5" tint="-0.24994659260841701"/>
      </right>
      <top/>
      <bottom style="medium">
        <color indexed="64"/>
      </bottom>
      <diagonal/>
    </border>
    <border>
      <left style="thick">
        <color theme="5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/>
      </left>
      <right/>
      <top style="slantDashDot">
        <color theme="6"/>
      </top>
      <bottom style="slantDashDot">
        <color theme="6"/>
      </bottom>
      <diagonal/>
    </border>
    <border>
      <left/>
      <right/>
      <top style="slantDashDot">
        <color theme="6"/>
      </top>
      <bottom style="slantDashDot">
        <color theme="6"/>
      </bottom>
      <diagonal/>
    </border>
    <border>
      <left/>
      <right style="slantDashDot">
        <color theme="6"/>
      </right>
      <top style="slantDashDot">
        <color theme="6"/>
      </top>
      <bottom style="slantDashDot">
        <color theme="6"/>
      </bottom>
      <diagonal/>
    </border>
    <border>
      <left style="double">
        <color rgb="FF0070C0"/>
      </left>
      <right/>
      <top style="double">
        <color rgb="FF0070C0"/>
      </top>
      <bottom style="thin">
        <color indexed="64"/>
      </bottom>
      <diagonal/>
    </border>
    <border>
      <left/>
      <right/>
      <top style="double">
        <color rgb="FF0070C0"/>
      </top>
      <bottom style="thin">
        <color indexed="64"/>
      </bottom>
      <diagonal/>
    </border>
    <border>
      <left/>
      <right style="double">
        <color rgb="FF0070C0"/>
      </right>
      <top style="double">
        <color rgb="FF0070C0"/>
      </top>
      <bottom style="thin">
        <color indexed="64"/>
      </bottom>
      <diagonal/>
    </border>
    <border>
      <left style="double">
        <color rgb="FF0070C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0070C0"/>
      </right>
      <top style="thin">
        <color indexed="64"/>
      </top>
      <bottom style="thin">
        <color indexed="64"/>
      </bottom>
      <diagonal/>
    </border>
    <border>
      <left style="double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0070C0"/>
      </right>
      <top/>
      <bottom/>
      <diagonal/>
    </border>
    <border>
      <left style="double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70C0"/>
      </right>
      <top style="thin">
        <color indexed="64"/>
      </top>
      <bottom style="thin">
        <color indexed="64"/>
      </bottom>
      <diagonal/>
    </border>
    <border>
      <left style="double">
        <color rgb="FF0070C0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indexed="64"/>
      </left>
      <right style="double">
        <color rgb="FF0070C0"/>
      </right>
      <top style="thin">
        <color indexed="64"/>
      </top>
      <bottom style="double">
        <color rgb="FF0070C0"/>
      </bottom>
      <diagonal/>
    </border>
    <border>
      <left/>
      <right/>
      <top style="double">
        <color theme="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6" fillId="0" borderId="0"/>
  </cellStyleXfs>
  <cellXfs count="19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3" xfId="0" applyFont="1" applyFill="1" applyBorder="1" applyAlignment="1">
      <alignment wrapText="1"/>
    </xf>
    <xf numFmtId="164" fontId="0" fillId="0" borderId="0" xfId="0" applyNumberFormat="1" applyBorder="1" applyAlignment="1"/>
    <xf numFmtId="0" fontId="2" fillId="0" borderId="0" xfId="0" applyFont="1" applyBorder="1" applyAlignment="1">
      <alignment vertical="center"/>
    </xf>
    <xf numFmtId="0" fontId="12" fillId="0" borderId="0" xfId="0" applyFont="1" applyBorder="1" applyAlignment="1"/>
    <xf numFmtId="0" fontId="4" fillId="0" borderId="0" xfId="0" applyFont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6" fontId="0" fillId="0" borderId="0" xfId="0" applyNumberFormat="1"/>
    <xf numFmtId="0" fontId="6" fillId="0" borderId="10" xfId="0" applyFont="1" applyBorder="1"/>
    <xf numFmtId="0" fontId="12" fillId="0" borderId="10" xfId="0" applyFont="1" applyBorder="1" applyAlignment="1"/>
    <xf numFmtId="0" fontId="12" fillId="0" borderId="9" xfId="0" applyFont="1" applyBorder="1" applyAlignment="1"/>
    <xf numFmtId="0" fontId="0" fillId="0" borderId="8" xfId="0" applyBorder="1"/>
    <xf numFmtId="0" fontId="6" fillId="0" borderId="1" xfId="0" applyFont="1" applyBorder="1"/>
    <xf numFmtId="0" fontId="23" fillId="3" borderId="1" xfId="0" applyFont="1" applyFill="1" applyBorder="1" applyAlignment="1">
      <alignment horizontal="left"/>
    </xf>
    <xf numFmtId="0" fontId="24" fillId="3" borderId="1" xfId="0" applyFont="1" applyFill="1" applyBorder="1"/>
    <xf numFmtId="0" fontId="7" fillId="0" borderId="9" xfId="0" applyFont="1" applyFill="1" applyBorder="1" applyAlignment="1">
      <alignment horizontal="left" vertical="center"/>
    </xf>
    <xf numFmtId="0" fontId="4" fillId="0" borderId="0" xfId="0" applyFont="1" applyBorder="1" applyAlignment="1"/>
    <xf numFmtId="0" fontId="27" fillId="0" borderId="0" xfId="0" applyFont="1"/>
    <xf numFmtId="0" fontId="2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6" fillId="0" borderId="13" xfId="0" applyFont="1" applyBorder="1"/>
    <xf numFmtId="0" fontId="1" fillId="2" borderId="16" xfId="0" applyFont="1" applyFill="1" applyBorder="1" applyAlignment="1">
      <alignment wrapText="1"/>
    </xf>
    <xf numFmtId="0" fontId="2" fillId="0" borderId="19" xfId="0" applyFont="1" applyBorder="1" applyAlignment="1"/>
    <xf numFmtId="164" fontId="0" fillId="0" borderId="14" xfId="0" applyNumberFormat="1" applyBorder="1" applyAlignment="1">
      <alignment horizontal="left"/>
    </xf>
    <xf numFmtId="0" fontId="6" fillId="8" borderId="1" xfId="0" applyFont="1" applyFill="1" applyBorder="1"/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/>
    <xf numFmtId="0" fontId="12" fillId="8" borderId="1" xfId="0" applyFont="1" applyFill="1" applyBorder="1" applyAlignment="1"/>
    <xf numFmtId="0" fontId="6" fillId="8" borderId="1" xfId="0" applyFont="1" applyFill="1" applyBorder="1" applyAlignment="1">
      <alignment horizontal="right"/>
    </xf>
    <xf numFmtId="0" fontId="12" fillId="8" borderId="1" xfId="0" applyFont="1" applyFill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0" xfId="0" applyBorder="1"/>
    <xf numFmtId="165" fontId="0" fillId="0" borderId="0" xfId="1" applyNumberFormat="1" applyFont="1" applyBorder="1"/>
    <xf numFmtId="0" fontId="0" fillId="0" borderId="0" xfId="0" quotePrefix="1" applyBorder="1" applyAlignment="1">
      <alignment horizontal="left"/>
    </xf>
    <xf numFmtId="0" fontId="0" fillId="0" borderId="4" xfId="0" applyBorder="1"/>
    <xf numFmtId="0" fontId="0" fillId="6" borderId="0" xfId="0" applyFill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9" xfId="0" applyBorder="1"/>
    <xf numFmtId="164" fontId="0" fillId="8" borderId="22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/>
    </xf>
    <xf numFmtId="164" fontId="0" fillId="4" borderId="27" xfId="0" applyNumberFormat="1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0" fontId="6" fillId="5" borderId="29" xfId="0" applyFont="1" applyFill="1" applyBorder="1" applyAlignment="1">
      <alignment vertical="top"/>
    </xf>
    <xf numFmtId="164" fontId="0" fillId="4" borderId="30" xfId="0" applyNumberFormat="1" applyFill="1" applyBorder="1" applyAlignment="1">
      <alignment horizontal="center" vertical="center"/>
    </xf>
    <xf numFmtId="0" fontId="31" fillId="0" borderId="0" xfId="0" applyFont="1"/>
    <xf numFmtId="164" fontId="0" fillId="0" borderId="27" xfId="0" applyNumberFormat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164" fontId="0" fillId="4" borderId="24" xfId="0" applyNumberFormat="1" applyFill="1" applyBorder="1" applyAlignment="1">
      <alignment horizontal="center" vertical="center"/>
    </xf>
    <xf numFmtId="0" fontId="1" fillId="3" borderId="24" xfId="0" applyFont="1" applyFill="1" applyBorder="1" applyAlignment="1">
      <alignment wrapText="1"/>
    </xf>
    <xf numFmtId="164" fontId="0" fillId="4" borderId="25" xfId="0" applyNumberFormat="1" applyFill="1" applyBorder="1" applyAlignment="1">
      <alignment horizontal="center" vertical="center"/>
    </xf>
    <xf numFmtId="0" fontId="1" fillId="2" borderId="27" xfId="0" applyFont="1" applyFill="1" applyBorder="1" applyAlignment="1">
      <alignment wrapText="1"/>
    </xf>
    <xf numFmtId="0" fontId="2" fillId="0" borderId="30" xfId="0" applyFont="1" applyBorder="1" applyAlignment="1"/>
    <xf numFmtId="0" fontId="6" fillId="0" borderId="0" xfId="0" applyFont="1"/>
    <xf numFmtId="0" fontId="6" fillId="8" borderId="22" xfId="0" applyFont="1" applyFill="1" applyBorder="1"/>
    <xf numFmtId="164" fontId="0" fillId="4" borderId="33" xfId="0" applyNumberFormat="1" applyFill="1" applyBorder="1" applyAlignment="1">
      <alignment horizontal="center" vertical="center"/>
    </xf>
    <xf numFmtId="164" fontId="0" fillId="0" borderId="25" xfId="0" applyNumberFormat="1" applyBorder="1" applyAlignment="1">
      <alignment horizontal="left"/>
    </xf>
    <xf numFmtId="0" fontId="30" fillId="3" borderId="34" xfId="0" applyFont="1" applyFill="1" applyBorder="1" applyAlignment="1">
      <alignment horizontal="left"/>
    </xf>
    <xf numFmtId="0" fontId="6" fillId="0" borderId="35" xfId="0" applyFont="1" applyBorder="1"/>
    <xf numFmtId="0" fontId="13" fillId="3" borderId="36" xfId="0" applyFont="1" applyFill="1" applyBorder="1" applyAlignment="1">
      <alignment horizontal="left"/>
    </xf>
    <xf numFmtId="0" fontId="12" fillId="0" borderId="35" xfId="0" applyFont="1" applyBorder="1" applyAlignment="1"/>
    <xf numFmtId="0" fontId="17" fillId="3" borderId="36" xfId="0" applyFont="1" applyFill="1" applyBorder="1" applyAlignment="1">
      <alignment horizontal="left"/>
    </xf>
    <xf numFmtId="0" fontId="13" fillId="3" borderId="37" xfId="0" applyFont="1" applyFill="1" applyBorder="1" applyAlignment="1">
      <alignment horizontal="left"/>
    </xf>
    <xf numFmtId="0" fontId="12" fillId="0" borderId="39" xfId="0" applyFont="1" applyBorder="1" applyAlignment="1"/>
    <xf numFmtId="0" fontId="35" fillId="9" borderId="40" xfId="0" applyFont="1" applyFill="1" applyBorder="1"/>
    <xf numFmtId="0" fontId="31" fillId="9" borderId="41" xfId="0" applyFont="1" applyFill="1" applyBorder="1"/>
    <xf numFmtId="0" fontId="36" fillId="8" borderId="38" xfId="0" applyFont="1" applyFill="1" applyBorder="1" applyAlignment="1"/>
    <xf numFmtId="0" fontId="37" fillId="0" borderId="0" xfId="0" applyFont="1"/>
    <xf numFmtId="0" fontId="30" fillId="3" borderId="47" xfId="0" applyFont="1" applyFill="1" applyBorder="1" applyAlignment="1">
      <alignment horizontal="left"/>
    </xf>
    <xf numFmtId="0" fontId="6" fillId="0" borderId="48" xfId="0" applyFont="1" applyBorder="1"/>
    <xf numFmtId="0" fontId="13" fillId="3" borderId="49" xfId="0" applyFont="1" applyFill="1" applyBorder="1" applyAlignment="1">
      <alignment horizontal="left"/>
    </xf>
    <xf numFmtId="0" fontId="12" fillId="0" borderId="48" xfId="0" applyFont="1" applyBorder="1" applyAlignment="1">
      <alignment vertical="center"/>
    </xf>
    <xf numFmtId="0" fontId="12" fillId="0" borderId="48" xfId="0" applyFont="1" applyBorder="1" applyAlignment="1"/>
    <xf numFmtId="0" fontId="13" fillId="3" borderId="50" xfId="0" applyFont="1" applyFill="1" applyBorder="1" applyAlignment="1">
      <alignment horizontal="left"/>
    </xf>
    <xf numFmtId="0" fontId="12" fillId="0" borderId="52" xfId="0" applyFont="1" applyBorder="1" applyAlignment="1"/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6" fillId="10" borderId="0" xfId="0" applyFont="1" applyFill="1"/>
    <xf numFmtId="0" fontId="0" fillId="10" borderId="0" xfId="0" applyFill="1"/>
    <xf numFmtId="0" fontId="36" fillId="8" borderId="51" xfId="0" applyFont="1" applyFill="1" applyBorder="1" applyAlignment="1"/>
    <xf numFmtId="0" fontId="34" fillId="8" borderId="1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left"/>
    </xf>
    <xf numFmtId="0" fontId="0" fillId="11" borderId="0" xfId="0" applyFill="1" applyBorder="1"/>
    <xf numFmtId="167" fontId="0" fillId="0" borderId="0" xfId="1" applyNumberFormat="1" applyFont="1" applyBorder="1"/>
    <xf numFmtId="0" fontId="13" fillId="3" borderId="53" xfId="0" applyFont="1" applyFill="1" applyBorder="1" applyAlignment="1">
      <alignment horizontal="left"/>
    </xf>
    <xf numFmtId="0" fontId="39" fillId="2" borderId="0" xfId="0" applyFont="1" applyFill="1" applyBorder="1" applyAlignment="1">
      <alignment vertical="center"/>
    </xf>
    <xf numFmtId="0" fontId="35" fillId="0" borderId="0" xfId="0" applyFont="1"/>
    <xf numFmtId="0" fontId="40" fillId="0" borderId="0" xfId="0" applyFont="1" applyAlignment="1">
      <alignment horizontal="center"/>
    </xf>
    <xf numFmtId="0" fontId="16" fillId="0" borderId="7" xfId="2" applyFill="1" applyBorder="1" applyAlignment="1">
      <alignment horizontal="center"/>
    </xf>
    <xf numFmtId="0" fontId="16" fillId="0" borderId="6" xfId="2" applyFill="1" applyBorder="1" applyAlignment="1">
      <alignment horizontal="center"/>
    </xf>
    <xf numFmtId="0" fontId="16" fillId="0" borderId="4" xfId="2" applyFill="1" applyBorder="1" applyAlignment="1">
      <alignment horizontal="center"/>
    </xf>
    <xf numFmtId="0" fontId="16" fillId="0" borderId="0" xfId="2" applyFill="1" applyBorder="1" applyAlignment="1">
      <alignment horizontal="center"/>
    </xf>
    <xf numFmtId="0" fontId="16" fillId="0" borderId="20" xfId="2" applyFill="1" applyBorder="1" applyAlignment="1">
      <alignment horizontal="center"/>
    </xf>
    <xf numFmtId="0" fontId="16" fillId="0" borderId="21" xfId="2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2" fontId="6" fillId="0" borderId="68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164" fontId="0" fillId="4" borderId="69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0" fillId="3" borderId="22" xfId="0" applyFont="1" applyFill="1" applyBorder="1" applyAlignment="1">
      <alignment horizontal="left"/>
    </xf>
    <xf numFmtId="0" fontId="24" fillId="3" borderId="22" xfId="0" applyFont="1" applyFill="1" applyBorder="1"/>
    <xf numFmtId="0" fontId="6" fillId="8" borderId="22" xfId="0" applyFont="1" applyFill="1" applyBorder="1" applyAlignment="1">
      <alignment horizontal="right"/>
    </xf>
    <xf numFmtId="0" fontId="43" fillId="0" borderId="0" xfId="0" applyFont="1"/>
    <xf numFmtId="0" fontId="29" fillId="0" borderId="0" xfId="0" applyFont="1" applyAlignment="1">
      <alignment horizontal="center"/>
    </xf>
    <xf numFmtId="0" fontId="7" fillId="7" borderId="57" xfId="0" applyFont="1" applyFill="1" applyBorder="1" applyAlignment="1">
      <alignment horizontal="center"/>
    </xf>
    <xf numFmtId="0" fontId="7" fillId="7" borderId="58" xfId="0" applyFont="1" applyFill="1" applyBorder="1" applyAlignment="1">
      <alignment horizontal="center"/>
    </xf>
    <xf numFmtId="0" fontId="7" fillId="7" borderId="59" xfId="0" applyFont="1" applyFill="1" applyBorder="1" applyAlignment="1">
      <alignment horizontal="center"/>
    </xf>
    <xf numFmtId="0" fontId="6" fillId="7" borderId="60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1" xfId="0" applyFont="1" applyFill="1" applyBorder="1" applyAlignment="1">
      <alignment horizontal="center"/>
    </xf>
    <xf numFmtId="0" fontId="25" fillId="6" borderId="7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2" fillId="3" borderId="0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top"/>
    </xf>
    <xf numFmtId="0" fontId="6" fillId="5" borderId="55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1" fillId="3" borderId="26" xfId="0" applyFont="1" applyFill="1" applyBorder="1" applyAlignment="1">
      <alignment horizontal="left" wrapText="1"/>
    </xf>
    <xf numFmtId="0" fontId="1" fillId="3" borderId="28" xfId="0" applyFont="1" applyFill="1" applyBorder="1" applyAlignment="1">
      <alignment horizontal="left" wrapText="1"/>
    </xf>
    <xf numFmtId="0" fontId="1" fillId="3" borderId="29" xfId="0" applyFont="1" applyFill="1" applyBorder="1" applyAlignment="1">
      <alignment horizontal="left" wrapText="1"/>
    </xf>
    <xf numFmtId="0" fontId="44" fillId="5" borderId="42" xfId="0" applyFont="1" applyFill="1" applyBorder="1" applyAlignment="1">
      <alignment horizontal="center" vertical="center" wrapText="1"/>
    </xf>
    <xf numFmtId="0" fontId="44" fillId="5" borderId="43" xfId="0" applyFont="1" applyFill="1" applyBorder="1" applyAlignment="1">
      <alignment horizontal="center" vertical="center" wrapText="1"/>
    </xf>
    <xf numFmtId="0" fontId="44" fillId="5" borderId="44" xfId="0" applyFont="1" applyFill="1" applyBorder="1" applyAlignment="1">
      <alignment horizontal="center" vertical="center" wrapText="1"/>
    </xf>
    <xf numFmtId="0" fontId="44" fillId="5" borderId="45" xfId="0" applyFont="1" applyFill="1" applyBorder="1" applyAlignment="1">
      <alignment horizontal="center" vertical="center" wrapText="1"/>
    </xf>
    <xf numFmtId="0" fontId="44" fillId="5" borderId="21" xfId="0" applyFont="1" applyFill="1" applyBorder="1" applyAlignment="1">
      <alignment horizontal="center" vertical="center" wrapText="1"/>
    </xf>
    <xf numFmtId="0" fontId="44" fillId="5" borderId="4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6" fillId="5" borderId="26" xfId="0" applyFont="1" applyFill="1" applyBorder="1" applyAlignment="1">
      <alignment horizontal="center" vertical="top"/>
    </xf>
    <xf numFmtId="0" fontId="6" fillId="5" borderId="28" xfId="0" applyFont="1" applyFill="1" applyBorder="1" applyAlignment="1">
      <alignment horizontal="center" vertical="top"/>
    </xf>
    <xf numFmtId="0" fontId="6" fillId="5" borderId="29" xfId="0" applyFont="1" applyFill="1" applyBorder="1" applyAlignment="1">
      <alignment horizontal="center" vertical="top"/>
    </xf>
    <xf numFmtId="0" fontId="1" fillId="3" borderId="3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34" fillId="11" borderId="55" xfId="0" applyFont="1" applyFill="1" applyBorder="1"/>
    <xf numFmtId="0" fontId="12" fillId="11" borderId="56" xfId="0" applyFont="1" applyFill="1" applyBorder="1" applyAlignment="1"/>
    <xf numFmtId="0" fontId="6" fillId="11" borderId="55" xfId="0" applyFont="1" applyFill="1" applyBorder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99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$A$8" fmlaRange="Calculos!$B$2:$B$7" noThreeD="1" sel="2" val="0"/>
</file>

<file path=xl/ctrlProps/ctrlProp10.xml><?xml version="1.0" encoding="utf-8"?>
<formControlPr xmlns="http://schemas.microsoft.com/office/spreadsheetml/2009/9/main" objectType="Drop" dropStyle="combo" dx="16" fmlaLink="$M$58" fmlaRange="Calculos!$K$11:$K$16" noThreeD="1" sel="3" val="0"/>
</file>

<file path=xl/ctrlProps/ctrlProp11.xml><?xml version="1.0" encoding="utf-8"?>
<formControlPr xmlns="http://schemas.microsoft.com/office/spreadsheetml/2009/9/main" objectType="Drop" dropStyle="combo" dx="16" fmlaLink="$K$61" fmlaRange="Calculos!$O$4:$O$9" noThreeD="1" sel="5" val="0"/>
</file>

<file path=xl/ctrlProps/ctrlProp12.xml><?xml version="1.0" encoding="utf-8"?>
<formControlPr xmlns="http://schemas.microsoft.com/office/spreadsheetml/2009/9/main" objectType="Drop" dropStyle="combo" dx="16" fmlaLink="$M$61" fmlaRange="Calculos!$O$11:$O$16" noThreeD="1" val="0"/>
</file>

<file path=xl/ctrlProps/ctrlProp13.xml><?xml version="1.0" encoding="utf-8"?>
<formControlPr xmlns="http://schemas.microsoft.com/office/spreadsheetml/2009/9/main" objectType="Drop" dropStyle="combo" dx="16" fmlaLink="$O$58" fmlaRange="Calculos!$K$18:$K$23" noThreeD="1" val="0"/>
</file>

<file path=xl/ctrlProps/ctrlProp14.xml><?xml version="1.0" encoding="utf-8"?>
<formControlPr xmlns="http://schemas.microsoft.com/office/spreadsheetml/2009/9/main" objectType="Drop" dropStyle="combo" dx="16" fmlaLink="$A$9" fmlaRange="Calculos!$B$2:$B$7" noThreeD="1" sel="2" val="0"/>
</file>

<file path=xl/ctrlProps/ctrlProp15.xml><?xml version="1.0" encoding="utf-8"?>
<formControlPr xmlns="http://schemas.microsoft.com/office/spreadsheetml/2009/9/main" objectType="Drop" dropStyle="combo" dx="16" fmlaLink="$A$11" fmlaRange="Calculos!$D$2:$D$4" noThreeD="1" sel="2" val="0"/>
</file>

<file path=xl/ctrlProps/ctrlProp16.xml><?xml version="1.0" encoding="utf-8"?>
<formControlPr xmlns="http://schemas.microsoft.com/office/spreadsheetml/2009/9/main" objectType="Drop" dropStyle="combo" dx="16" fmlaLink="$A$13" fmlaRange="Calculos!$G$2:$G$3" noThreeD="1" sel="2" val="0"/>
</file>

<file path=xl/ctrlProps/ctrlProp17.xml><?xml version="1.0" encoding="utf-8"?>
<formControlPr xmlns="http://schemas.microsoft.com/office/spreadsheetml/2009/9/main" objectType="Drop" dropStyle="combo" dx="16" fmlaLink="$A$8" fmlaRange="Calculos!$B$2:$B$7" noThreeD="1" sel="2" val="0"/>
</file>

<file path=xl/ctrlProps/ctrlProp18.xml><?xml version="1.0" encoding="utf-8"?>
<formControlPr xmlns="http://schemas.microsoft.com/office/spreadsheetml/2009/9/main" objectType="Drop" dropStyle="combo" dx="16" fmlaLink="$A$10" fmlaRange="Calculos!$D$2:$D$4" noThreeD="1" val="0"/>
</file>

<file path=xl/ctrlProps/ctrlProp19.xml><?xml version="1.0" encoding="utf-8"?>
<formControlPr xmlns="http://schemas.microsoft.com/office/spreadsheetml/2009/9/main" objectType="Drop" dropStyle="combo" dx="16" fmlaLink="$A$12" fmlaRange="Calculos!$G$2:$G$3" noThreeD="1" val="0"/>
</file>

<file path=xl/ctrlProps/ctrlProp2.xml><?xml version="1.0" encoding="utf-8"?>
<formControlPr xmlns="http://schemas.microsoft.com/office/spreadsheetml/2009/9/main" objectType="Drop" dropStyle="combo" dx="16" fmlaLink="$A$10" fmlaRange="Calculos!$D$2:$D$4" noThreeD="1" sel="2" val="0"/>
</file>

<file path=xl/ctrlProps/ctrlProp3.xml><?xml version="1.0" encoding="utf-8"?>
<formControlPr xmlns="http://schemas.microsoft.com/office/spreadsheetml/2009/9/main" objectType="Drop" dropStyle="combo" dx="16" fmlaLink="$A$12" fmlaRange="Calculos!$G$2:$G$3" noThreeD="1" sel="2" val="0"/>
</file>

<file path=xl/ctrlProps/ctrlProp4.xml><?xml version="1.0" encoding="utf-8"?>
<formControlPr xmlns="http://schemas.microsoft.com/office/spreadsheetml/2009/9/main" objectType="Drop" dropStyle="combo" dx="16" fmlaLink="$K$58" fmlaRange="Calculos!$K$4:$K$9" noThreeD="1" sel="5" val="0"/>
</file>

<file path=xl/ctrlProps/ctrlProp5.xml><?xml version="1.0" encoding="utf-8"?>
<formControlPr xmlns="http://schemas.microsoft.com/office/spreadsheetml/2009/9/main" objectType="Drop" dropStyle="combo" dx="16" fmlaLink="$M$58" fmlaRange="Calculos!$K$11:$K$16" noThreeD="1" sel="3" val="0"/>
</file>

<file path=xl/ctrlProps/ctrlProp6.xml><?xml version="1.0" encoding="utf-8"?>
<formControlPr xmlns="http://schemas.microsoft.com/office/spreadsheetml/2009/9/main" objectType="Drop" dropStyle="combo" dx="16" fmlaLink="$O$58" fmlaRange="Calculos!$K$18:$K$23" noThreeD="1" val="0"/>
</file>

<file path=xl/ctrlProps/ctrlProp7.xml><?xml version="1.0" encoding="utf-8"?>
<formControlPr xmlns="http://schemas.microsoft.com/office/spreadsheetml/2009/9/main" objectType="Drop" dropStyle="combo" dx="16" fmlaLink="$K$61" fmlaRange="Calculos!$O$4:$O$9" noThreeD="1" sel="5" val="0"/>
</file>

<file path=xl/ctrlProps/ctrlProp8.xml><?xml version="1.0" encoding="utf-8"?>
<formControlPr xmlns="http://schemas.microsoft.com/office/spreadsheetml/2009/9/main" objectType="Drop" dropStyle="combo" dx="16" fmlaLink="$M$61" fmlaRange="Calculos!$O$11:$O$16" noThreeD="1" val="0"/>
</file>

<file path=xl/ctrlProps/ctrlProp9.xml><?xml version="1.0" encoding="utf-8"?>
<formControlPr xmlns="http://schemas.microsoft.com/office/spreadsheetml/2009/9/main" objectType="Drop" dropStyle="combo" dx="16" fmlaLink="$O$61" fmlaRange="Calculos!$O$18:$O$23" noThreeD="1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civilgeeks.com/blo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civilgeeks.com/blog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civilgeeks.com/blo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114300</xdr:rowOff>
    </xdr:from>
    <xdr:ext cx="3409950" cy="361950"/>
    <xdr:sp macro="" textlink="">
      <xdr:nvSpPr>
        <xdr:cNvPr id="44" name="43 Rectángulo"/>
        <xdr:cNvSpPr/>
      </xdr:nvSpPr>
      <xdr:spPr>
        <a:xfrm>
          <a:off x="561975" y="114300"/>
          <a:ext cx="3409950" cy="3619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DISEÑO DE VIGAS</a:t>
          </a:r>
        </a:p>
      </xdr:txBody>
    </xdr:sp>
    <xdr:clientData/>
  </xdr:oneCellAnchor>
  <xdr:twoCellAnchor>
    <xdr:from>
      <xdr:col>7</xdr:col>
      <xdr:colOff>133350</xdr:colOff>
      <xdr:row>49</xdr:row>
      <xdr:rowOff>28575</xdr:rowOff>
    </xdr:from>
    <xdr:to>
      <xdr:col>7</xdr:col>
      <xdr:colOff>438150</xdr:colOff>
      <xdr:row>50</xdr:row>
      <xdr:rowOff>133350</xdr:rowOff>
    </xdr:to>
    <xdr:sp macro="" textlink="">
      <xdr:nvSpPr>
        <xdr:cNvPr id="37" name="36 Flecha abajo"/>
        <xdr:cNvSpPr/>
      </xdr:nvSpPr>
      <xdr:spPr>
        <a:xfrm>
          <a:off x="7877175" y="5648325"/>
          <a:ext cx="304800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343229</xdr:colOff>
      <xdr:row>12</xdr:row>
      <xdr:rowOff>197397</xdr:rowOff>
    </xdr:from>
    <xdr:to>
      <xdr:col>7</xdr:col>
      <xdr:colOff>423698</xdr:colOff>
      <xdr:row>24</xdr:row>
      <xdr:rowOff>146160</xdr:rowOff>
    </xdr:to>
    <xdr:grpSp>
      <xdr:nvGrpSpPr>
        <xdr:cNvPr id="49" name="48 Grupo"/>
        <xdr:cNvGrpSpPr/>
      </xdr:nvGrpSpPr>
      <xdr:grpSpPr>
        <a:xfrm>
          <a:off x="2991179" y="2588172"/>
          <a:ext cx="2090244" cy="2196663"/>
          <a:chOff x="3166241" y="2690648"/>
          <a:chExt cx="2320487" cy="2188781"/>
        </a:xfrm>
      </xdr:grpSpPr>
      <xdr:grpSp>
        <xdr:nvGrpSpPr>
          <xdr:cNvPr id="2" name="Group 152"/>
          <xdr:cNvGrpSpPr>
            <a:grpSpLocks/>
          </xdr:cNvGrpSpPr>
        </xdr:nvGrpSpPr>
        <xdr:grpSpPr bwMode="auto">
          <a:xfrm>
            <a:off x="3488449" y="2804948"/>
            <a:ext cx="1998279" cy="2074481"/>
            <a:chOff x="458" y="27"/>
            <a:chExt cx="184" cy="219"/>
          </a:xfrm>
        </xdr:grpSpPr>
        <xdr:sp macro="" textlink="">
          <xdr:nvSpPr>
            <xdr:cNvPr id="3" name="Line 75"/>
            <xdr:cNvSpPr>
              <a:spLocks noChangeShapeType="1"/>
            </xdr:cNvSpPr>
          </xdr:nvSpPr>
          <xdr:spPr bwMode="auto">
            <a:xfrm>
              <a:off x="496" y="208"/>
              <a:ext cx="109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4" name="Line 80"/>
            <xdr:cNvSpPr>
              <a:spLocks noChangeShapeType="1"/>
            </xdr:cNvSpPr>
          </xdr:nvSpPr>
          <xdr:spPr bwMode="auto">
            <a:xfrm>
              <a:off x="519" y="187"/>
              <a:ext cx="66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5" name="Oval 84"/>
            <xdr:cNvSpPr>
              <a:spLocks noChangeArrowheads="1"/>
            </xdr:cNvSpPr>
          </xdr:nvSpPr>
          <xdr:spPr bwMode="auto">
            <a:xfrm>
              <a:off x="520" y="176"/>
              <a:ext cx="8" cy="8"/>
            </a:xfrm>
            <a:prstGeom prst="ellipse">
              <a:avLst/>
            </a:prstGeom>
            <a:ln>
              <a:headEnd/>
              <a:tailEnd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sp>
        <xdr:sp macro="" textlink="">
          <xdr:nvSpPr>
            <xdr:cNvPr id="6" name="Oval 85"/>
            <xdr:cNvSpPr>
              <a:spLocks noChangeArrowheads="1"/>
            </xdr:cNvSpPr>
          </xdr:nvSpPr>
          <xdr:spPr bwMode="auto">
            <a:xfrm>
              <a:off x="572" y="176"/>
              <a:ext cx="8" cy="8"/>
            </a:xfrm>
            <a:prstGeom prst="ellipse">
              <a:avLst/>
            </a:prstGeom>
            <a:ln>
              <a:headEnd/>
              <a:tailEnd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sp>
        <xdr:sp macro="" textlink="">
          <xdr:nvSpPr>
            <xdr:cNvPr id="7" name="Line 90"/>
            <xdr:cNvSpPr>
              <a:spLocks noChangeShapeType="1"/>
            </xdr:cNvSpPr>
          </xdr:nvSpPr>
          <xdr:spPr bwMode="auto">
            <a:xfrm>
              <a:off x="496" y="35"/>
              <a:ext cx="0" cy="174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8" name="Line 92"/>
            <xdr:cNvSpPr>
              <a:spLocks noChangeShapeType="1"/>
            </xdr:cNvSpPr>
          </xdr:nvSpPr>
          <xdr:spPr bwMode="auto">
            <a:xfrm>
              <a:off x="497" y="35"/>
              <a:ext cx="107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9" name="Line 93"/>
            <xdr:cNvSpPr>
              <a:spLocks noChangeShapeType="1"/>
            </xdr:cNvSpPr>
          </xdr:nvSpPr>
          <xdr:spPr bwMode="auto">
            <a:xfrm>
              <a:off x="604" y="35"/>
              <a:ext cx="0" cy="173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10" name="Line 94"/>
            <xdr:cNvSpPr>
              <a:spLocks noChangeShapeType="1"/>
            </xdr:cNvSpPr>
          </xdr:nvSpPr>
          <xdr:spPr bwMode="auto">
            <a:xfrm>
              <a:off x="518" y="53"/>
              <a:ext cx="66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11" name="Line 95"/>
            <xdr:cNvSpPr>
              <a:spLocks noChangeShapeType="1"/>
            </xdr:cNvSpPr>
          </xdr:nvSpPr>
          <xdr:spPr bwMode="auto">
            <a:xfrm>
              <a:off x="518" y="53"/>
              <a:ext cx="0" cy="134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12" name="Line 97"/>
            <xdr:cNvSpPr>
              <a:spLocks noChangeShapeType="1"/>
            </xdr:cNvSpPr>
          </xdr:nvSpPr>
          <xdr:spPr bwMode="auto">
            <a:xfrm flipV="1">
              <a:off x="583" y="53"/>
              <a:ext cx="0" cy="134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13" name="Oval 98"/>
            <xdr:cNvSpPr>
              <a:spLocks noChangeArrowheads="1"/>
            </xdr:cNvSpPr>
          </xdr:nvSpPr>
          <xdr:spPr bwMode="auto">
            <a:xfrm>
              <a:off x="520" y="55"/>
              <a:ext cx="8" cy="8"/>
            </a:xfrm>
            <a:prstGeom prst="ellipse">
              <a:avLst/>
            </a:prstGeom>
            <a:ln>
              <a:headEnd/>
              <a:tailEnd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sp>
        <xdr:sp macro="" textlink="">
          <xdr:nvSpPr>
            <xdr:cNvPr id="14" name="Oval 99"/>
            <xdr:cNvSpPr>
              <a:spLocks noChangeArrowheads="1"/>
            </xdr:cNvSpPr>
          </xdr:nvSpPr>
          <xdr:spPr bwMode="auto">
            <a:xfrm>
              <a:off x="572" y="55"/>
              <a:ext cx="8" cy="8"/>
            </a:xfrm>
            <a:prstGeom prst="ellipse">
              <a:avLst/>
            </a:prstGeom>
            <a:ln>
              <a:headEnd/>
              <a:tailEnd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sp>
        <xdr:sp macro="" textlink="">
          <xdr:nvSpPr>
            <xdr:cNvPr id="15" name="Line 102"/>
            <xdr:cNvSpPr>
              <a:spLocks noChangeShapeType="1"/>
            </xdr:cNvSpPr>
          </xdr:nvSpPr>
          <xdr:spPr bwMode="auto">
            <a:xfrm>
              <a:off x="458" y="35"/>
              <a:ext cx="38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16" name="Line 104"/>
            <xdr:cNvSpPr>
              <a:spLocks noChangeShapeType="1"/>
            </xdr:cNvSpPr>
          </xdr:nvSpPr>
          <xdr:spPr bwMode="auto">
            <a:xfrm>
              <a:off x="461" y="182"/>
              <a:ext cx="34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18" name="Line 110"/>
            <xdr:cNvSpPr>
              <a:spLocks noChangeShapeType="1"/>
            </xdr:cNvSpPr>
          </xdr:nvSpPr>
          <xdr:spPr bwMode="auto">
            <a:xfrm flipV="1">
              <a:off x="489" y="235"/>
              <a:ext cx="122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19" name="Line 111"/>
            <xdr:cNvSpPr>
              <a:spLocks noChangeShapeType="1"/>
            </xdr:cNvSpPr>
          </xdr:nvSpPr>
          <xdr:spPr bwMode="auto">
            <a:xfrm>
              <a:off x="497" y="218"/>
              <a:ext cx="0" cy="28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20" name="Line 112"/>
            <xdr:cNvSpPr>
              <a:spLocks noChangeShapeType="1"/>
            </xdr:cNvSpPr>
          </xdr:nvSpPr>
          <xdr:spPr bwMode="auto">
            <a:xfrm>
              <a:off x="604" y="218"/>
              <a:ext cx="0" cy="28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21" name="Line 113"/>
            <xdr:cNvSpPr>
              <a:spLocks noChangeShapeType="1"/>
            </xdr:cNvSpPr>
          </xdr:nvSpPr>
          <xdr:spPr bwMode="auto">
            <a:xfrm>
              <a:off x="526" y="55"/>
              <a:ext cx="26" cy="24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22" name="Line 115"/>
            <xdr:cNvSpPr>
              <a:spLocks noChangeShapeType="1"/>
            </xdr:cNvSpPr>
          </xdr:nvSpPr>
          <xdr:spPr bwMode="auto">
            <a:xfrm>
              <a:off x="521" y="63"/>
              <a:ext cx="15" cy="28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24" name="Line 118"/>
            <xdr:cNvSpPr>
              <a:spLocks noChangeShapeType="1"/>
            </xdr:cNvSpPr>
          </xdr:nvSpPr>
          <xdr:spPr bwMode="auto">
            <a:xfrm flipH="1">
              <a:off x="634" y="27"/>
              <a:ext cx="0" cy="38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25" name="Line 119"/>
            <xdr:cNvSpPr>
              <a:spLocks noChangeShapeType="1"/>
            </xdr:cNvSpPr>
          </xdr:nvSpPr>
          <xdr:spPr bwMode="auto">
            <a:xfrm>
              <a:off x="582" y="58"/>
              <a:ext cx="57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26" name="Line 120"/>
            <xdr:cNvSpPr>
              <a:spLocks noChangeShapeType="1"/>
            </xdr:cNvSpPr>
          </xdr:nvSpPr>
          <xdr:spPr bwMode="auto">
            <a:xfrm>
              <a:off x="581" y="179"/>
              <a:ext cx="61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27" name="Line 121"/>
            <xdr:cNvSpPr>
              <a:spLocks noChangeShapeType="1"/>
            </xdr:cNvSpPr>
          </xdr:nvSpPr>
          <xdr:spPr bwMode="auto">
            <a:xfrm flipH="1">
              <a:off x="636" y="172"/>
              <a:ext cx="0" cy="44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28" name="Line 126"/>
            <xdr:cNvSpPr>
              <a:spLocks noChangeShapeType="1"/>
            </xdr:cNvSpPr>
          </xdr:nvSpPr>
          <xdr:spPr bwMode="auto">
            <a:xfrm>
              <a:off x="610" y="209"/>
              <a:ext cx="31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29" name="Line 127"/>
            <xdr:cNvSpPr>
              <a:spLocks noChangeShapeType="1"/>
            </xdr:cNvSpPr>
          </xdr:nvSpPr>
          <xdr:spPr bwMode="auto">
            <a:xfrm>
              <a:off x="611" y="35"/>
              <a:ext cx="28" cy="0"/>
            </a:xfrm>
            <a:prstGeom prst="line">
              <a:avLst/>
            </a:prstGeom>
            <a:ln>
              <a:headEnd/>
              <a:tailEnd/>
            </a:ln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</xdr:sp>
      </xdr:grpSp>
      <xdr:cxnSp macro="">
        <xdr:nvCxnSpPr>
          <xdr:cNvPr id="36" name="35 Conector recto"/>
          <xdr:cNvCxnSpPr/>
        </xdr:nvCxnSpPr>
        <xdr:spPr>
          <a:xfrm rot="5400000">
            <a:off x="2761950" y="4283787"/>
            <a:ext cx="1115876" cy="79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40 Conector recto"/>
          <xdr:cNvCxnSpPr/>
        </xdr:nvCxnSpPr>
        <xdr:spPr>
          <a:xfrm rot="10800000" flipV="1">
            <a:off x="3192517" y="4523134"/>
            <a:ext cx="626408" cy="945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42 Conector recto"/>
          <xdr:cNvCxnSpPr/>
        </xdr:nvCxnSpPr>
        <xdr:spPr>
          <a:xfrm rot="10800000">
            <a:off x="3166241" y="2883777"/>
            <a:ext cx="331734" cy="85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" name="38 Conector recto"/>
          <xdr:cNvCxnSpPr/>
        </xdr:nvCxnSpPr>
        <xdr:spPr>
          <a:xfrm rot="16200000" flipV="1">
            <a:off x="2922725" y="3075072"/>
            <a:ext cx="777575" cy="872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41 Conector recto"/>
          <xdr:cNvCxnSpPr/>
        </xdr:nvCxnSpPr>
        <xdr:spPr>
          <a:xfrm rot="16200000" flipV="1">
            <a:off x="3356763" y="3296943"/>
            <a:ext cx="818439" cy="524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45 Conector recto"/>
          <xdr:cNvCxnSpPr/>
        </xdr:nvCxnSpPr>
        <xdr:spPr>
          <a:xfrm rot="16200000" flipV="1">
            <a:off x="3608626" y="4173554"/>
            <a:ext cx="352225" cy="1111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0</xdr:rowOff>
        </xdr:from>
        <xdr:to>
          <xdr:col>3</xdr:col>
          <xdr:colOff>638175</xdr:colOff>
          <xdr:row>11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190500</xdr:rowOff>
        </xdr:from>
        <xdr:to>
          <xdr:col>6</xdr:col>
          <xdr:colOff>9525</xdr:colOff>
          <xdr:row>10</xdr:row>
          <xdr:rowOff>190500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9525</xdr:rowOff>
        </xdr:from>
        <xdr:to>
          <xdr:col>6</xdr:col>
          <xdr:colOff>9525</xdr:colOff>
          <xdr:row>12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9525</xdr:rowOff>
        </xdr:from>
        <xdr:to>
          <xdr:col>2</xdr:col>
          <xdr:colOff>466725</xdr:colOff>
          <xdr:row>52</xdr:row>
          <xdr:rowOff>9525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51</xdr:row>
          <xdr:rowOff>0</xdr:rowOff>
        </xdr:from>
        <xdr:to>
          <xdr:col>4</xdr:col>
          <xdr:colOff>495300</xdr:colOff>
          <xdr:row>52</xdr:row>
          <xdr:rowOff>9525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50</xdr:row>
          <xdr:rowOff>180975</xdr:rowOff>
        </xdr:from>
        <xdr:to>
          <xdr:col>6</xdr:col>
          <xdr:colOff>552450</xdr:colOff>
          <xdr:row>51</xdr:row>
          <xdr:rowOff>190500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9525</xdr:rowOff>
        </xdr:from>
        <xdr:to>
          <xdr:col>2</xdr:col>
          <xdr:colOff>476250</xdr:colOff>
          <xdr:row>57</xdr:row>
          <xdr:rowOff>9525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0</xdr:rowOff>
        </xdr:from>
        <xdr:to>
          <xdr:col>4</xdr:col>
          <xdr:colOff>457200</xdr:colOff>
          <xdr:row>57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0</xdr:rowOff>
        </xdr:from>
        <xdr:to>
          <xdr:col>6</xdr:col>
          <xdr:colOff>542925</xdr:colOff>
          <xdr:row>57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9525</xdr:rowOff>
        </xdr:from>
        <xdr:to>
          <xdr:col>4</xdr:col>
          <xdr:colOff>495300</xdr:colOff>
          <xdr:row>52</xdr:row>
          <xdr:rowOff>9525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9525</xdr:rowOff>
        </xdr:from>
        <xdr:to>
          <xdr:col>2</xdr:col>
          <xdr:colOff>466725</xdr:colOff>
          <xdr:row>57</xdr:row>
          <xdr:rowOff>9525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9525</xdr:rowOff>
        </xdr:from>
        <xdr:to>
          <xdr:col>4</xdr:col>
          <xdr:colOff>466725</xdr:colOff>
          <xdr:row>57</xdr:row>
          <xdr:rowOff>9525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55</xdr:row>
          <xdr:rowOff>180975</xdr:rowOff>
        </xdr:from>
        <xdr:to>
          <xdr:col>6</xdr:col>
          <xdr:colOff>552450</xdr:colOff>
          <xdr:row>56</xdr:row>
          <xdr:rowOff>190500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80</xdr:row>
      <xdr:rowOff>0</xdr:rowOff>
    </xdr:from>
    <xdr:to>
      <xdr:col>6</xdr:col>
      <xdr:colOff>247650</xdr:colOff>
      <xdr:row>99</xdr:row>
      <xdr:rowOff>140613</xdr:rowOff>
    </xdr:to>
    <xdr:pic>
      <xdr:nvPicPr>
        <xdr:cNvPr id="23" name="2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735300"/>
          <a:ext cx="4143375" cy="3760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0</xdr:row>
      <xdr:rowOff>0</xdr:rowOff>
    </xdr:from>
    <xdr:ext cx="4752976" cy="345544"/>
    <xdr:sp macro="" textlink="">
      <xdr:nvSpPr>
        <xdr:cNvPr id="2" name="1 Rectángulo"/>
        <xdr:cNvSpPr/>
      </xdr:nvSpPr>
      <xdr:spPr>
        <a:xfrm>
          <a:off x="47624" y="0"/>
          <a:ext cx="4752976" cy="34554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 Black" pitchFamily="34" charset="0"/>
            </a:rPr>
            <a:t>VERIFICACION DE LA VIGA V.101</a:t>
          </a:r>
        </a:p>
      </xdr:txBody>
    </xdr:sp>
    <xdr:clientData/>
  </xdr:oneCellAnchor>
  <xdr:twoCellAnchor>
    <xdr:from>
      <xdr:col>2</xdr:col>
      <xdr:colOff>57150</xdr:colOff>
      <xdr:row>15</xdr:row>
      <xdr:rowOff>66675</xdr:rowOff>
    </xdr:from>
    <xdr:to>
      <xdr:col>4</xdr:col>
      <xdr:colOff>285750</xdr:colOff>
      <xdr:row>25</xdr:row>
      <xdr:rowOff>142876</xdr:rowOff>
    </xdr:to>
    <xdr:grpSp>
      <xdr:nvGrpSpPr>
        <xdr:cNvPr id="31" name="Group 152"/>
        <xdr:cNvGrpSpPr>
          <a:grpSpLocks/>
        </xdr:cNvGrpSpPr>
      </xdr:nvGrpSpPr>
      <xdr:grpSpPr bwMode="auto">
        <a:xfrm>
          <a:off x="1123950" y="3000375"/>
          <a:ext cx="1704975" cy="2028826"/>
          <a:chOff x="458" y="27"/>
          <a:chExt cx="184" cy="213"/>
        </a:xfrm>
      </xdr:grpSpPr>
      <xdr:sp macro="" textlink="">
        <xdr:nvSpPr>
          <xdr:cNvPr id="32" name="Line 75"/>
          <xdr:cNvSpPr>
            <a:spLocks noChangeShapeType="1"/>
          </xdr:cNvSpPr>
        </xdr:nvSpPr>
        <xdr:spPr bwMode="auto">
          <a:xfrm>
            <a:off x="496" y="208"/>
            <a:ext cx="109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33" name="Line 80"/>
          <xdr:cNvSpPr>
            <a:spLocks noChangeShapeType="1"/>
          </xdr:cNvSpPr>
        </xdr:nvSpPr>
        <xdr:spPr bwMode="auto">
          <a:xfrm>
            <a:off x="519" y="187"/>
            <a:ext cx="66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34" name="Oval 84"/>
          <xdr:cNvSpPr>
            <a:spLocks noChangeArrowheads="1"/>
          </xdr:cNvSpPr>
        </xdr:nvSpPr>
        <xdr:spPr bwMode="auto">
          <a:xfrm>
            <a:off x="520" y="176"/>
            <a:ext cx="8" cy="8"/>
          </a:xfrm>
          <a:prstGeom prst="ellips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35" name="Oval 85"/>
          <xdr:cNvSpPr>
            <a:spLocks noChangeArrowheads="1"/>
          </xdr:cNvSpPr>
        </xdr:nvSpPr>
        <xdr:spPr bwMode="auto">
          <a:xfrm>
            <a:off x="572" y="176"/>
            <a:ext cx="8" cy="8"/>
          </a:xfrm>
          <a:prstGeom prst="ellips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36" name="Line 90"/>
          <xdr:cNvSpPr>
            <a:spLocks noChangeShapeType="1"/>
          </xdr:cNvSpPr>
        </xdr:nvSpPr>
        <xdr:spPr bwMode="auto">
          <a:xfrm>
            <a:off x="496" y="35"/>
            <a:ext cx="0" cy="17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37" name="Line 92"/>
          <xdr:cNvSpPr>
            <a:spLocks noChangeShapeType="1"/>
          </xdr:cNvSpPr>
        </xdr:nvSpPr>
        <xdr:spPr bwMode="auto">
          <a:xfrm>
            <a:off x="497" y="35"/>
            <a:ext cx="107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38" name="Line 93"/>
          <xdr:cNvSpPr>
            <a:spLocks noChangeShapeType="1"/>
          </xdr:cNvSpPr>
        </xdr:nvSpPr>
        <xdr:spPr bwMode="auto">
          <a:xfrm>
            <a:off x="604" y="35"/>
            <a:ext cx="0" cy="173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39" name="Line 94"/>
          <xdr:cNvSpPr>
            <a:spLocks noChangeShapeType="1"/>
          </xdr:cNvSpPr>
        </xdr:nvSpPr>
        <xdr:spPr bwMode="auto">
          <a:xfrm>
            <a:off x="518" y="53"/>
            <a:ext cx="66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0" name="Line 95"/>
          <xdr:cNvSpPr>
            <a:spLocks noChangeShapeType="1"/>
          </xdr:cNvSpPr>
        </xdr:nvSpPr>
        <xdr:spPr bwMode="auto">
          <a:xfrm>
            <a:off x="518" y="53"/>
            <a:ext cx="0" cy="13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1" name="Line 97"/>
          <xdr:cNvSpPr>
            <a:spLocks noChangeShapeType="1"/>
          </xdr:cNvSpPr>
        </xdr:nvSpPr>
        <xdr:spPr bwMode="auto">
          <a:xfrm flipV="1">
            <a:off x="583" y="53"/>
            <a:ext cx="0" cy="13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2" name="Oval 98"/>
          <xdr:cNvSpPr>
            <a:spLocks noChangeArrowheads="1"/>
          </xdr:cNvSpPr>
        </xdr:nvSpPr>
        <xdr:spPr bwMode="auto">
          <a:xfrm>
            <a:off x="520" y="55"/>
            <a:ext cx="8" cy="8"/>
          </a:xfrm>
          <a:prstGeom prst="ellips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3" name="Oval 99"/>
          <xdr:cNvSpPr>
            <a:spLocks noChangeArrowheads="1"/>
          </xdr:cNvSpPr>
        </xdr:nvSpPr>
        <xdr:spPr bwMode="auto">
          <a:xfrm>
            <a:off x="572" y="55"/>
            <a:ext cx="8" cy="8"/>
          </a:xfrm>
          <a:prstGeom prst="ellips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4" name="Line 102"/>
          <xdr:cNvSpPr>
            <a:spLocks noChangeShapeType="1"/>
          </xdr:cNvSpPr>
        </xdr:nvSpPr>
        <xdr:spPr bwMode="auto">
          <a:xfrm>
            <a:off x="458" y="35"/>
            <a:ext cx="38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5" name="Line 104"/>
          <xdr:cNvSpPr>
            <a:spLocks noChangeShapeType="1"/>
          </xdr:cNvSpPr>
        </xdr:nvSpPr>
        <xdr:spPr bwMode="auto">
          <a:xfrm>
            <a:off x="461" y="182"/>
            <a:ext cx="34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6" name="Line 110"/>
          <xdr:cNvSpPr>
            <a:spLocks noChangeShapeType="1"/>
          </xdr:cNvSpPr>
        </xdr:nvSpPr>
        <xdr:spPr bwMode="auto">
          <a:xfrm flipV="1">
            <a:off x="489" y="225"/>
            <a:ext cx="122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7" name="Line 111"/>
          <xdr:cNvSpPr>
            <a:spLocks noChangeShapeType="1"/>
          </xdr:cNvSpPr>
        </xdr:nvSpPr>
        <xdr:spPr bwMode="auto">
          <a:xfrm>
            <a:off x="495" y="212"/>
            <a:ext cx="0" cy="2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8" name="Line 112"/>
          <xdr:cNvSpPr>
            <a:spLocks noChangeShapeType="1"/>
          </xdr:cNvSpPr>
        </xdr:nvSpPr>
        <xdr:spPr bwMode="auto">
          <a:xfrm>
            <a:off x="604" y="208"/>
            <a:ext cx="0" cy="2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49" name="Line 113"/>
          <xdr:cNvSpPr>
            <a:spLocks noChangeShapeType="1"/>
          </xdr:cNvSpPr>
        </xdr:nvSpPr>
        <xdr:spPr bwMode="auto">
          <a:xfrm>
            <a:off x="526" y="55"/>
            <a:ext cx="26" cy="2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50" name="Line 115"/>
          <xdr:cNvSpPr>
            <a:spLocks noChangeShapeType="1"/>
          </xdr:cNvSpPr>
        </xdr:nvSpPr>
        <xdr:spPr bwMode="auto">
          <a:xfrm>
            <a:off x="521" y="63"/>
            <a:ext cx="15" cy="2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51" name="Line 117"/>
          <xdr:cNvSpPr>
            <a:spLocks noChangeShapeType="1"/>
          </xdr:cNvSpPr>
        </xdr:nvSpPr>
        <xdr:spPr bwMode="auto">
          <a:xfrm>
            <a:off x="473" y="135"/>
            <a:ext cx="0" cy="5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52" name="Line 118"/>
          <xdr:cNvSpPr>
            <a:spLocks noChangeShapeType="1"/>
          </xdr:cNvSpPr>
        </xdr:nvSpPr>
        <xdr:spPr bwMode="auto">
          <a:xfrm flipH="1">
            <a:off x="634" y="27"/>
            <a:ext cx="0" cy="3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53" name="Line 119"/>
          <xdr:cNvSpPr>
            <a:spLocks noChangeShapeType="1"/>
          </xdr:cNvSpPr>
        </xdr:nvSpPr>
        <xdr:spPr bwMode="auto">
          <a:xfrm>
            <a:off x="582" y="58"/>
            <a:ext cx="57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54" name="Line 120"/>
          <xdr:cNvSpPr>
            <a:spLocks noChangeShapeType="1"/>
          </xdr:cNvSpPr>
        </xdr:nvSpPr>
        <xdr:spPr bwMode="auto">
          <a:xfrm>
            <a:off x="581" y="179"/>
            <a:ext cx="61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55" name="Line 121"/>
          <xdr:cNvSpPr>
            <a:spLocks noChangeShapeType="1"/>
          </xdr:cNvSpPr>
        </xdr:nvSpPr>
        <xdr:spPr bwMode="auto">
          <a:xfrm flipH="1">
            <a:off x="636" y="172"/>
            <a:ext cx="0" cy="4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56" name="Line 126"/>
          <xdr:cNvSpPr>
            <a:spLocks noChangeShapeType="1"/>
          </xdr:cNvSpPr>
        </xdr:nvSpPr>
        <xdr:spPr bwMode="auto">
          <a:xfrm>
            <a:off x="610" y="209"/>
            <a:ext cx="31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57" name="Line 127"/>
          <xdr:cNvSpPr>
            <a:spLocks noChangeShapeType="1"/>
          </xdr:cNvSpPr>
        </xdr:nvSpPr>
        <xdr:spPr bwMode="auto">
          <a:xfrm>
            <a:off x="611" y="35"/>
            <a:ext cx="28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</xdr:grpSp>
    <xdr:clientData/>
  </xdr:twoCellAnchor>
  <xdr:twoCellAnchor>
    <xdr:from>
      <xdr:col>2</xdr:col>
      <xdr:colOff>166688</xdr:colOff>
      <xdr:row>15</xdr:row>
      <xdr:rowOff>59532</xdr:rowOff>
    </xdr:from>
    <xdr:to>
      <xdr:col>2</xdr:col>
      <xdr:colOff>172641</xdr:colOff>
      <xdr:row>18</xdr:row>
      <xdr:rowOff>101204</xdr:rowOff>
    </xdr:to>
    <xdr:cxnSp macro="">
      <xdr:nvCxnSpPr>
        <xdr:cNvPr id="59" name="58 Conector recto"/>
        <xdr:cNvCxnSpPr/>
      </xdr:nvCxnSpPr>
      <xdr:spPr>
        <a:xfrm rot="5400000" flipH="1" flipV="1">
          <a:off x="5354836" y="1538884"/>
          <a:ext cx="595313" cy="59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406081</xdr:colOff>
      <xdr:row>21</xdr:row>
      <xdr:rowOff>113109</xdr:rowOff>
    </xdr:from>
    <xdr:to>
      <xdr:col>4</xdr:col>
      <xdr:colOff>375047</xdr:colOff>
      <xdr:row>22</xdr:row>
      <xdr:rowOff>196944</xdr:rowOff>
    </xdr:to>
    <xdr:cxnSp macro="">
      <xdr:nvCxnSpPr>
        <xdr:cNvPr id="61" name="60 Conector curvado"/>
        <xdr:cNvCxnSpPr>
          <a:stCxn id="35" idx="6"/>
        </xdr:cNvCxnSpPr>
      </xdr:nvCxnSpPr>
      <xdr:spPr>
        <a:xfrm flipV="1">
          <a:off x="6615190" y="2470547"/>
          <a:ext cx="635716" cy="292194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0</xdr:rowOff>
        </xdr:from>
        <xdr:to>
          <xdr:col>4</xdr:col>
          <xdr:colOff>9525</xdr:colOff>
          <xdr:row>12</xdr:row>
          <xdr:rowOff>9525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190500</xdr:rowOff>
        </xdr:from>
        <xdr:to>
          <xdr:col>6</xdr:col>
          <xdr:colOff>0</xdr:colOff>
          <xdr:row>11</xdr:row>
          <xdr:rowOff>180975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9525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43</xdr:row>
      <xdr:rowOff>0</xdr:rowOff>
    </xdr:from>
    <xdr:to>
      <xdr:col>6</xdr:col>
      <xdr:colOff>485775</xdr:colOff>
      <xdr:row>62</xdr:row>
      <xdr:rowOff>140613</xdr:rowOff>
    </xdr:to>
    <xdr:pic>
      <xdr:nvPicPr>
        <xdr:cNvPr id="58" name="57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8763000"/>
          <a:ext cx="4143375" cy="37601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82263</xdr:colOff>
      <xdr:row>0</xdr:row>
      <xdr:rowOff>66675</xdr:rowOff>
    </xdr:from>
    <xdr:ext cx="5029199" cy="345544"/>
    <xdr:sp macro="" textlink="">
      <xdr:nvSpPr>
        <xdr:cNvPr id="2" name="1 Rectángulo"/>
        <xdr:cNvSpPr/>
      </xdr:nvSpPr>
      <xdr:spPr>
        <a:xfrm>
          <a:off x="82263" y="66675"/>
          <a:ext cx="5029199" cy="34554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 Black" pitchFamily="34" charset="0"/>
            </a:rPr>
            <a:t>DISEÑO DE VIGAS DOBLEMENTE REFORZADA</a:t>
          </a:r>
        </a:p>
      </xdr:txBody>
    </xdr:sp>
    <xdr:clientData/>
  </xdr:oneCellAnchor>
  <xdr:twoCellAnchor>
    <xdr:from>
      <xdr:col>1</xdr:col>
      <xdr:colOff>752475</xdr:colOff>
      <xdr:row>14</xdr:row>
      <xdr:rowOff>19050</xdr:rowOff>
    </xdr:from>
    <xdr:to>
      <xdr:col>4</xdr:col>
      <xdr:colOff>219075</xdr:colOff>
      <xdr:row>24</xdr:row>
      <xdr:rowOff>152401</xdr:rowOff>
    </xdr:to>
    <xdr:grpSp>
      <xdr:nvGrpSpPr>
        <xdr:cNvPr id="62" name="Group 152"/>
        <xdr:cNvGrpSpPr>
          <a:grpSpLocks/>
        </xdr:cNvGrpSpPr>
      </xdr:nvGrpSpPr>
      <xdr:grpSpPr bwMode="auto">
        <a:xfrm>
          <a:off x="1085850" y="2686050"/>
          <a:ext cx="1714500" cy="2009776"/>
          <a:chOff x="458" y="27"/>
          <a:chExt cx="184" cy="219"/>
        </a:xfrm>
      </xdr:grpSpPr>
      <xdr:sp macro="" textlink="">
        <xdr:nvSpPr>
          <xdr:cNvPr id="63" name="Line 75"/>
          <xdr:cNvSpPr>
            <a:spLocks noChangeShapeType="1"/>
          </xdr:cNvSpPr>
        </xdr:nvSpPr>
        <xdr:spPr bwMode="auto">
          <a:xfrm>
            <a:off x="496" y="208"/>
            <a:ext cx="109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64" name="Line 80"/>
          <xdr:cNvSpPr>
            <a:spLocks noChangeShapeType="1"/>
          </xdr:cNvSpPr>
        </xdr:nvSpPr>
        <xdr:spPr bwMode="auto">
          <a:xfrm>
            <a:off x="519" y="187"/>
            <a:ext cx="66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65" name="Oval 84"/>
          <xdr:cNvSpPr>
            <a:spLocks noChangeArrowheads="1"/>
          </xdr:cNvSpPr>
        </xdr:nvSpPr>
        <xdr:spPr bwMode="auto">
          <a:xfrm>
            <a:off x="520" y="176"/>
            <a:ext cx="8" cy="8"/>
          </a:xfrm>
          <a:prstGeom prst="ellips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66" name="Oval 85"/>
          <xdr:cNvSpPr>
            <a:spLocks noChangeArrowheads="1"/>
          </xdr:cNvSpPr>
        </xdr:nvSpPr>
        <xdr:spPr bwMode="auto">
          <a:xfrm>
            <a:off x="572" y="176"/>
            <a:ext cx="8" cy="8"/>
          </a:xfrm>
          <a:prstGeom prst="ellips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67" name="Line 90"/>
          <xdr:cNvSpPr>
            <a:spLocks noChangeShapeType="1"/>
          </xdr:cNvSpPr>
        </xdr:nvSpPr>
        <xdr:spPr bwMode="auto">
          <a:xfrm>
            <a:off x="496" y="35"/>
            <a:ext cx="0" cy="17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68" name="Line 92"/>
          <xdr:cNvSpPr>
            <a:spLocks noChangeShapeType="1"/>
          </xdr:cNvSpPr>
        </xdr:nvSpPr>
        <xdr:spPr bwMode="auto">
          <a:xfrm>
            <a:off x="497" y="35"/>
            <a:ext cx="107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69" name="Line 93"/>
          <xdr:cNvSpPr>
            <a:spLocks noChangeShapeType="1"/>
          </xdr:cNvSpPr>
        </xdr:nvSpPr>
        <xdr:spPr bwMode="auto">
          <a:xfrm>
            <a:off x="604" y="35"/>
            <a:ext cx="0" cy="173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0" name="Line 94"/>
          <xdr:cNvSpPr>
            <a:spLocks noChangeShapeType="1"/>
          </xdr:cNvSpPr>
        </xdr:nvSpPr>
        <xdr:spPr bwMode="auto">
          <a:xfrm>
            <a:off x="518" y="53"/>
            <a:ext cx="66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1" name="Line 95"/>
          <xdr:cNvSpPr>
            <a:spLocks noChangeShapeType="1"/>
          </xdr:cNvSpPr>
        </xdr:nvSpPr>
        <xdr:spPr bwMode="auto">
          <a:xfrm>
            <a:off x="518" y="53"/>
            <a:ext cx="0" cy="13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2" name="Line 97"/>
          <xdr:cNvSpPr>
            <a:spLocks noChangeShapeType="1"/>
          </xdr:cNvSpPr>
        </xdr:nvSpPr>
        <xdr:spPr bwMode="auto">
          <a:xfrm flipV="1">
            <a:off x="583" y="53"/>
            <a:ext cx="0" cy="13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3" name="Oval 98"/>
          <xdr:cNvSpPr>
            <a:spLocks noChangeArrowheads="1"/>
          </xdr:cNvSpPr>
        </xdr:nvSpPr>
        <xdr:spPr bwMode="auto">
          <a:xfrm>
            <a:off x="520" y="55"/>
            <a:ext cx="8" cy="8"/>
          </a:xfrm>
          <a:prstGeom prst="ellips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4" name="Oval 99"/>
          <xdr:cNvSpPr>
            <a:spLocks noChangeArrowheads="1"/>
          </xdr:cNvSpPr>
        </xdr:nvSpPr>
        <xdr:spPr bwMode="auto">
          <a:xfrm>
            <a:off x="572" y="55"/>
            <a:ext cx="8" cy="8"/>
          </a:xfrm>
          <a:prstGeom prst="ellips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5" name="Line 102"/>
          <xdr:cNvSpPr>
            <a:spLocks noChangeShapeType="1"/>
          </xdr:cNvSpPr>
        </xdr:nvSpPr>
        <xdr:spPr bwMode="auto">
          <a:xfrm>
            <a:off x="458" y="35"/>
            <a:ext cx="38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6" name="Line 104"/>
          <xdr:cNvSpPr>
            <a:spLocks noChangeShapeType="1"/>
          </xdr:cNvSpPr>
        </xdr:nvSpPr>
        <xdr:spPr bwMode="auto">
          <a:xfrm>
            <a:off x="461" y="182"/>
            <a:ext cx="34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7" name="Line 110"/>
          <xdr:cNvSpPr>
            <a:spLocks noChangeShapeType="1"/>
          </xdr:cNvSpPr>
        </xdr:nvSpPr>
        <xdr:spPr bwMode="auto">
          <a:xfrm flipV="1">
            <a:off x="489" y="235"/>
            <a:ext cx="122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8" name="Line 111"/>
          <xdr:cNvSpPr>
            <a:spLocks noChangeShapeType="1"/>
          </xdr:cNvSpPr>
        </xdr:nvSpPr>
        <xdr:spPr bwMode="auto">
          <a:xfrm>
            <a:off x="497" y="218"/>
            <a:ext cx="0" cy="2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79" name="Line 112"/>
          <xdr:cNvSpPr>
            <a:spLocks noChangeShapeType="1"/>
          </xdr:cNvSpPr>
        </xdr:nvSpPr>
        <xdr:spPr bwMode="auto">
          <a:xfrm>
            <a:off x="604" y="218"/>
            <a:ext cx="0" cy="2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80" name="Line 113"/>
          <xdr:cNvSpPr>
            <a:spLocks noChangeShapeType="1"/>
          </xdr:cNvSpPr>
        </xdr:nvSpPr>
        <xdr:spPr bwMode="auto">
          <a:xfrm>
            <a:off x="526" y="55"/>
            <a:ext cx="26" cy="2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81" name="Line 115"/>
          <xdr:cNvSpPr>
            <a:spLocks noChangeShapeType="1"/>
          </xdr:cNvSpPr>
        </xdr:nvSpPr>
        <xdr:spPr bwMode="auto">
          <a:xfrm>
            <a:off x="521" y="63"/>
            <a:ext cx="15" cy="2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82" name="Line 117"/>
          <xdr:cNvSpPr>
            <a:spLocks noChangeShapeType="1"/>
          </xdr:cNvSpPr>
        </xdr:nvSpPr>
        <xdr:spPr bwMode="auto">
          <a:xfrm>
            <a:off x="473" y="135"/>
            <a:ext cx="0" cy="5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83" name="Line 118"/>
          <xdr:cNvSpPr>
            <a:spLocks noChangeShapeType="1"/>
          </xdr:cNvSpPr>
        </xdr:nvSpPr>
        <xdr:spPr bwMode="auto">
          <a:xfrm flipH="1">
            <a:off x="634" y="27"/>
            <a:ext cx="0" cy="38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84" name="Line 119"/>
          <xdr:cNvSpPr>
            <a:spLocks noChangeShapeType="1"/>
          </xdr:cNvSpPr>
        </xdr:nvSpPr>
        <xdr:spPr bwMode="auto">
          <a:xfrm>
            <a:off x="582" y="58"/>
            <a:ext cx="57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85" name="Line 120"/>
          <xdr:cNvSpPr>
            <a:spLocks noChangeShapeType="1"/>
          </xdr:cNvSpPr>
        </xdr:nvSpPr>
        <xdr:spPr bwMode="auto">
          <a:xfrm>
            <a:off x="581" y="179"/>
            <a:ext cx="61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86" name="Line 121"/>
          <xdr:cNvSpPr>
            <a:spLocks noChangeShapeType="1"/>
          </xdr:cNvSpPr>
        </xdr:nvSpPr>
        <xdr:spPr bwMode="auto">
          <a:xfrm flipH="1">
            <a:off x="636" y="172"/>
            <a:ext cx="0" cy="4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87" name="Line 126"/>
          <xdr:cNvSpPr>
            <a:spLocks noChangeShapeType="1"/>
          </xdr:cNvSpPr>
        </xdr:nvSpPr>
        <xdr:spPr bwMode="auto">
          <a:xfrm>
            <a:off x="610" y="209"/>
            <a:ext cx="31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  <xdr:sp macro="" textlink="">
        <xdr:nvSpPr>
          <xdr:cNvPr id="88" name="Line 127"/>
          <xdr:cNvSpPr>
            <a:spLocks noChangeShapeType="1"/>
          </xdr:cNvSpPr>
        </xdr:nvSpPr>
        <xdr:spPr bwMode="auto">
          <a:xfrm>
            <a:off x="611" y="35"/>
            <a:ext cx="28" cy="0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</xdr:sp>
    </xdr:grpSp>
    <xdr:clientData/>
  </xdr:twoCellAnchor>
  <xdr:twoCellAnchor>
    <xdr:from>
      <xdr:col>2</xdr:col>
      <xdr:colOff>166688</xdr:colOff>
      <xdr:row>14</xdr:row>
      <xdr:rowOff>59532</xdr:rowOff>
    </xdr:from>
    <xdr:to>
      <xdr:col>2</xdr:col>
      <xdr:colOff>172641</xdr:colOff>
      <xdr:row>17</xdr:row>
      <xdr:rowOff>101204</xdr:rowOff>
    </xdr:to>
    <xdr:cxnSp macro="">
      <xdr:nvCxnSpPr>
        <xdr:cNvPr id="89" name="88 Conector recto"/>
        <xdr:cNvCxnSpPr/>
      </xdr:nvCxnSpPr>
      <xdr:spPr>
        <a:xfrm rot="5400000" flipH="1" flipV="1">
          <a:off x="5359004" y="6744891"/>
          <a:ext cx="613172" cy="59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339406</xdr:colOff>
      <xdr:row>20</xdr:row>
      <xdr:rowOff>65484</xdr:rowOff>
    </xdr:from>
    <xdr:to>
      <xdr:col>4</xdr:col>
      <xdr:colOff>308372</xdr:colOff>
      <xdr:row>21</xdr:row>
      <xdr:rowOff>139794</xdr:rowOff>
    </xdr:to>
    <xdr:cxnSp macro="">
      <xdr:nvCxnSpPr>
        <xdr:cNvPr id="90" name="89 Conector curvado"/>
        <xdr:cNvCxnSpPr>
          <a:stCxn id="66" idx="6"/>
        </xdr:cNvCxnSpPr>
      </xdr:nvCxnSpPr>
      <xdr:spPr>
        <a:xfrm flipV="1">
          <a:off x="6597331" y="2951559"/>
          <a:ext cx="730966" cy="26481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363140</xdr:colOff>
      <xdr:row>16</xdr:row>
      <xdr:rowOff>6444</xdr:rowOff>
    </xdr:from>
    <xdr:to>
      <xdr:col>4</xdr:col>
      <xdr:colOff>381000</xdr:colOff>
      <xdr:row>17</xdr:row>
      <xdr:rowOff>119062</xdr:rowOff>
    </xdr:to>
    <xdr:cxnSp macro="">
      <xdr:nvCxnSpPr>
        <xdr:cNvPr id="91" name="90 Conector curvado"/>
        <xdr:cNvCxnSpPr/>
      </xdr:nvCxnSpPr>
      <xdr:spPr>
        <a:xfrm>
          <a:off x="6621065" y="6769194"/>
          <a:ext cx="779860" cy="303118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0</xdr:rowOff>
        </xdr:from>
        <xdr:to>
          <xdr:col>4</xdr:col>
          <xdr:colOff>0</xdr:colOff>
          <xdr:row>11</xdr:row>
          <xdr:rowOff>19050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190500</xdr:rowOff>
        </xdr:from>
        <xdr:to>
          <xdr:col>6</xdr:col>
          <xdr:colOff>28575</xdr:colOff>
          <xdr:row>11</xdr:row>
          <xdr:rowOff>9525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9525</xdr:rowOff>
        </xdr:from>
        <xdr:to>
          <xdr:col>6</xdr:col>
          <xdr:colOff>28575</xdr:colOff>
          <xdr:row>12</xdr:row>
          <xdr:rowOff>9525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37</xdr:row>
      <xdr:rowOff>0</xdr:rowOff>
    </xdr:from>
    <xdr:to>
      <xdr:col>6</xdr:col>
      <xdr:colOff>504825</xdr:colOff>
      <xdr:row>56</xdr:row>
      <xdr:rowOff>92988</xdr:rowOff>
    </xdr:to>
    <xdr:pic>
      <xdr:nvPicPr>
        <xdr:cNvPr id="36" name="35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7381875"/>
          <a:ext cx="4143375" cy="3760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363636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79998168889431442"/>
  </sheetPr>
  <dimension ref="A1:S51"/>
  <sheetViews>
    <sheetView workbookViewId="0">
      <selection activeCell="D6" sqref="D6"/>
    </sheetView>
  </sheetViews>
  <sheetFormatPr baseColWidth="10" defaultRowHeight="15" x14ac:dyDescent="0.25"/>
  <cols>
    <col min="2" max="2" width="11.5703125" bestFit="1" customWidth="1"/>
    <col min="3" max="3" width="12.28515625" customWidth="1"/>
    <col min="7" max="7" width="11.42578125" customWidth="1"/>
  </cols>
  <sheetData>
    <row r="1" spans="1:19" x14ac:dyDescent="0.25">
      <c r="A1" s="45"/>
      <c r="B1" s="46"/>
      <c r="C1" s="46"/>
      <c r="D1" s="46"/>
      <c r="E1" s="46"/>
      <c r="F1" s="46"/>
      <c r="G1" s="46"/>
      <c r="H1" s="23"/>
    </row>
    <row r="2" spans="1:19" x14ac:dyDescent="0.25">
      <c r="A2" s="47">
        <v>1</v>
      </c>
      <c r="B2" s="9">
        <v>175</v>
      </c>
      <c r="C2" s="1">
        <v>1</v>
      </c>
      <c r="D2" s="1">
        <v>2800</v>
      </c>
      <c r="E2" s="1"/>
      <c r="F2" s="1">
        <v>1</v>
      </c>
      <c r="G2" s="1">
        <v>0.5</v>
      </c>
      <c r="H2" s="48"/>
    </row>
    <row r="3" spans="1:19" ht="15.75" thickBot="1" x14ac:dyDescent="0.3">
      <c r="A3" s="47">
        <v>2</v>
      </c>
      <c r="B3" s="9">
        <v>210</v>
      </c>
      <c r="C3" s="1">
        <v>2</v>
      </c>
      <c r="D3" s="1">
        <v>4200</v>
      </c>
      <c r="E3" s="1"/>
      <c r="F3" s="1">
        <v>2</v>
      </c>
      <c r="G3" s="1">
        <v>0.75</v>
      </c>
      <c r="H3" s="48"/>
    </row>
    <row r="4" spans="1:19" x14ac:dyDescent="0.25">
      <c r="A4" s="47">
        <v>3</v>
      </c>
      <c r="B4" s="9">
        <v>280</v>
      </c>
      <c r="C4" s="1">
        <v>3</v>
      </c>
      <c r="D4" s="1">
        <v>3500</v>
      </c>
      <c r="E4" s="1"/>
      <c r="F4" s="1"/>
      <c r="G4" s="49"/>
      <c r="H4" s="48"/>
      <c r="I4" s="113">
        <v>1</v>
      </c>
      <c r="J4" s="114">
        <v>0.32</v>
      </c>
      <c r="K4" s="46" t="str">
        <f>"1/4 """</f>
        <v>1/4 "</v>
      </c>
      <c r="M4" s="113">
        <v>1</v>
      </c>
      <c r="N4" s="114">
        <v>0.32</v>
      </c>
      <c r="O4" s="46" t="str">
        <f>"1/4 """</f>
        <v>1/4 "</v>
      </c>
      <c r="Q4" s="116"/>
      <c r="R4" s="116"/>
      <c r="S4" s="1"/>
    </row>
    <row r="5" spans="1:19" x14ac:dyDescent="0.25">
      <c r="A5" s="47">
        <v>4</v>
      </c>
      <c r="B5" s="9">
        <v>350</v>
      </c>
      <c r="C5" s="1"/>
      <c r="D5" s="1"/>
      <c r="E5" s="1"/>
      <c r="F5" s="1"/>
      <c r="G5" s="49"/>
      <c r="H5" s="48"/>
      <c r="I5" s="115">
        <v>2</v>
      </c>
      <c r="J5" s="116">
        <v>0.71</v>
      </c>
      <c r="K5" s="1" t="str">
        <f>"3/8 """</f>
        <v>3/8 "</v>
      </c>
      <c r="M5" s="115">
        <v>2</v>
      </c>
      <c r="N5" s="116">
        <v>0.71</v>
      </c>
      <c r="O5" s="1" t="str">
        <f>"3/8 """</f>
        <v>3/8 "</v>
      </c>
      <c r="Q5" s="116"/>
      <c r="R5" s="116"/>
      <c r="S5" s="1"/>
    </row>
    <row r="6" spans="1:19" x14ac:dyDescent="0.25">
      <c r="A6" s="47">
        <v>5</v>
      </c>
      <c r="B6" s="9">
        <v>420</v>
      </c>
      <c r="C6" s="1"/>
      <c r="D6" s="1"/>
      <c r="E6" s="1"/>
      <c r="F6" s="1"/>
      <c r="G6" s="49"/>
      <c r="H6" s="48"/>
      <c r="I6" s="115">
        <v>3</v>
      </c>
      <c r="J6" s="116">
        <v>1.27</v>
      </c>
      <c r="K6" s="1" t="str">
        <f>"1/2 """</f>
        <v>1/2 "</v>
      </c>
      <c r="M6" s="115">
        <v>3</v>
      </c>
      <c r="N6" s="116">
        <v>1.27</v>
      </c>
      <c r="O6" s="1" t="str">
        <f>"1/2 """</f>
        <v>1/2 "</v>
      </c>
      <c r="Q6" s="116"/>
      <c r="R6" s="116"/>
      <c r="S6" s="1"/>
    </row>
    <row r="7" spans="1:19" x14ac:dyDescent="0.25">
      <c r="A7" s="47">
        <v>6</v>
      </c>
      <c r="B7" s="9">
        <v>630</v>
      </c>
      <c r="C7" s="1"/>
      <c r="D7" s="1"/>
      <c r="E7" s="1"/>
      <c r="F7" s="50"/>
      <c r="G7" s="49"/>
      <c r="H7" s="48"/>
      <c r="I7" s="115">
        <v>4</v>
      </c>
      <c r="J7" s="116">
        <v>1.98</v>
      </c>
      <c r="K7" s="1" t="str">
        <f>"5/8 """</f>
        <v>5/8 "</v>
      </c>
      <c r="M7" s="115">
        <v>4</v>
      </c>
      <c r="N7" s="116">
        <v>1.98</v>
      </c>
      <c r="O7" s="1" t="str">
        <f>"5/8 """</f>
        <v>5/8 "</v>
      </c>
      <c r="Q7" s="116"/>
      <c r="R7" s="116"/>
      <c r="S7" s="1"/>
    </row>
    <row r="8" spans="1:19" x14ac:dyDescent="0.25">
      <c r="A8" s="47"/>
      <c r="B8" s="9" t="s">
        <v>13</v>
      </c>
      <c r="C8" s="1">
        <f>ROUND('analisis de Vigas '!C21*'analisis de Vigas '!D7*'analisis de Vigas '!D5,2)</f>
        <v>16.260000000000002</v>
      </c>
      <c r="D8" s="1"/>
      <c r="E8" s="1" t="s">
        <v>62</v>
      </c>
      <c r="F8" s="1">
        <f>ROUND('Vigas tipo 1'!D10*'Vigas tipo 1'!A12/(0.85*'Vigas tipo 1'!A10*'Vigas tipo 1'!D6),2)</f>
        <v>8.27</v>
      </c>
      <c r="G8" s="49"/>
      <c r="H8" s="48"/>
      <c r="I8" s="115">
        <v>5</v>
      </c>
      <c r="J8" s="116">
        <v>2.85</v>
      </c>
      <c r="K8" s="1" t="str">
        <f>"3/4 """</f>
        <v>3/4 "</v>
      </c>
      <c r="M8" s="115">
        <v>5</v>
      </c>
      <c r="N8" s="116">
        <v>2.85</v>
      </c>
      <c r="O8" s="1" t="str">
        <f>"3/4 """</f>
        <v>3/4 "</v>
      </c>
      <c r="Q8" s="116"/>
      <c r="R8" s="116"/>
      <c r="S8" s="1"/>
    </row>
    <row r="9" spans="1:19" ht="15.75" thickBot="1" x14ac:dyDescent="0.3">
      <c r="A9" s="51"/>
      <c r="B9" s="9" t="s">
        <v>10</v>
      </c>
      <c r="C9" s="1">
        <f>ROUND(C8*'analisis de Vigas '!A11/(0.85*'analisis de Vigas '!A9*'analisis de Vigas '!D5),3)</f>
        <v>12.753</v>
      </c>
      <c r="D9" s="1"/>
      <c r="E9" s="1"/>
      <c r="F9" s="1"/>
      <c r="G9" s="49"/>
      <c r="H9" s="48"/>
      <c r="I9" s="117">
        <v>6</v>
      </c>
      <c r="J9" s="118">
        <v>5.0999999999999996</v>
      </c>
      <c r="K9" s="55" t="str">
        <f>"1 """</f>
        <v>1 "</v>
      </c>
      <c r="M9" s="117">
        <v>6</v>
      </c>
      <c r="N9" s="118">
        <v>5.0999999999999996</v>
      </c>
      <c r="O9" s="55" t="str">
        <f>"1 """</f>
        <v>1 "</v>
      </c>
      <c r="Q9" s="116"/>
      <c r="R9" s="116"/>
      <c r="S9" s="1"/>
    </row>
    <row r="10" spans="1:19" ht="15.75" thickBot="1" x14ac:dyDescent="0.3">
      <c r="A10" s="51"/>
      <c r="B10" s="9" t="s">
        <v>12</v>
      </c>
      <c r="C10" s="1">
        <f>'analisis de Vigas '!F10*Calculos!C8*'analisis de Vigas '!A11*('analisis de Vigas '!D7-Calculos!C9/2)</f>
        <v>1697817.6558000003</v>
      </c>
      <c r="D10" s="1"/>
      <c r="E10" s="1"/>
      <c r="F10" s="1"/>
      <c r="G10" s="49" t="s">
        <v>83</v>
      </c>
      <c r="H10" s="48">
        <f>'analisis de Vigas '!A11</f>
        <v>4200</v>
      </c>
      <c r="Q10" s="1"/>
      <c r="R10" s="1"/>
      <c r="S10" s="1"/>
    </row>
    <row r="11" spans="1:19" ht="12.75" customHeight="1" x14ac:dyDescent="0.3">
      <c r="A11" s="51"/>
      <c r="B11" s="9" t="s">
        <v>14</v>
      </c>
      <c r="C11" s="1">
        <f>'analisis de Vigas '!E9*100000-Calculos!C10</f>
        <v>1202182.3441999997</v>
      </c>
      <c r="D11" s="1"/>
      <c r="E11" s="106" t="s">
        <v>82</v>
      </c>
      <c r="F11" s="1">
        <f>ROUND(0.8*SQRT('analisis de Vigas '!A9)/'analisis de Vigas '!A11,5)</f>
        <v>2.7599999999999999E-3</v>
      </c>
      <c r="G11" s="49" t="s">
        <v>84</v>
      </c>
      <c r="H11" s="48" t="str">
        <f>'analisis de Vigas '!C37</f>
        <v/>
      </c>
      <c r="I11" s="113">
        <v>1</v>
      </c>
      <c r="J11" s="114">
        <v>0.32</v>
      </c>
      <c r="K11" s="46" t="str">
        <f>"1/4 """</f>
        <v>1/4 "</v>
      </c>
      <c r="M11" s="113">
        <v>1</v>
      </c>
      <c r="N11" s="114">
        <v>0.32</v>
      </c>
      <c r="O11" s="46" t="str">
        <f>"1/4 """</f>
        <v>1/4 "</v>
      </c>
      <c r="Q11" s="116"/>
      <c r="R11" s="116"/>
      <c r="S11" s="1"/>
    </row>
    <row r="12" spans="1:19" ht="14.25" customHeight="1" x14ac:dyDescent="0.3">
      <c r="A12" s="51"/>
      <c r="B12" s="9" t="s">
        <v>15</v>
      </c>
      <c r="C12" s="1">
        <f>ROUND(C11/('analisis de Vigas '!F10*'analisis de Vigas '!A11*('analisis de Vigas '!D7-'analisis de Vigas '!F5)),2)</f>
        <v>11.36</v>
      </c>
      <c r="D12" s="1"/>
      <c r="E12" s="106" t="s">
        <v>82</v>
      </c>
      <c r="F12" s="1">
        <f>ROUND(14/'analisis de Vigas '!A11,5)</f>
        <v>3.3300000000000001E-3</v>
      </c>
      <c r="G12" s="49" t="s">
        <v>61</v>
      </c>
      <c r="H12" s="48">
        <f>IF(H11&lt;H10,H11,H10)</f>
        <v>4200</v>
      </c>
      <c r="I12" s="115">
        <v>2</v>
      </c>
      <c r="J12" s="116">
        <v>0.71</v>
      </c>
      <c r="K12" s="1" t="str">
        <f>"3/8 """</f>
        <v>3/8 "</v>
      </c>
      <c r="M12" s="115">
        <v>2</v>
      </c>
      <c r="N12" s="116">
        <v>0.71</v>
      </c>
      <c r="O12" s="1" t="str">
        <f>"3/8 """</f>
        <v>3/8 "</v>
      </c>
      <c r="Q12" s="116"/>
      <c r="R12" s="116"/>
      <c r="S12" s="1"/>
    </row>
    <row r="13" spans="1:19" x14ac:dyDescent="0.25">
      <c r="A13" s="51"/>
      <c r="B13" s="52" t="s">
        <v>16</v>
      </c>
      <c r="C13" s="1">
        <f>C12/'analisis de Vigas '!A13</f>
        <v>15.146666666666667</v>
      </c>
      <c r="D13" s="1"/>
      <c r="E13" s="1"/>
      <c r="F13" s="1"/>
      <c r="G13" s="49"/>
      <c r="H13" s="48"/>
      <c r="I13" s="115">
        <v>3</v>
      </c>
      <c r="J13" s="116">
        <v>1.27</v>
      </c>
      <c r="K13" s="1" t="str">
        <f>"1/2 """</f>
        <v>1/2 "</v>
      </c>
      <c r="M13" s="115">
        <v>3</v>
      </c>
      <c r="N13" s="116">
        <v>1.27</v>
      </c>
      <c r="O13" s="1" t="str">
        <f>"1/2 """</f>
        <v>1/2 "</v>
      </c>
      <c r="Q13" s="116"/>
      <c r="R13" s="116"/>
      <c r="S13" s="1"/>
    </row>
    <row r="14" spans="1:19" x14ac:dyDescent="0.25">
      <c r="A14" s="51"/>
      <c r="B14" s="52" t="s">
        <v>11</v>
      </c>
      <c r="C14" s="1">
        <f>C8+C12</f>
        <v>27.62</v>
      </c>
      <c r="D14" s="1"/>
      <c r="E14" s="1" t="s">
        <v>85</v>
      </c>
      <c r="F14" s="107">
        <f>IF(F11&gt;F12,F11,F12)</f>
        <v>3.3300000000000001E-3</v>
      </c>
      <c r="G14" s="108">
        <f>IF(F15&lt;F14,F14,F15)</f>
        <v>1.0330000000000001E-2</v>
      </c>
      <c r="H14" s="48"/>
      <c r="I14" s="115">
        <v>4</v>
      </c>
      <c r="J14" s="116">
        <v>1.98</v>
      </c>
      <c r="K14" s="1" t="str">
        <f>"5/8 """</f>
        <v>5/8 "</v>
      </c>
      <c r="M14" s="115">
        <v>4</v>
      </c>
      <c r="N14" s="116">
        <v>1.98</v>
      </c>
      <c r="O14" s="1" t="str">
        <f>"5/8 """</f>
        <v>5/8 "</v>
      </c>
      <c r="Q14" s="116"/>
      <c r="R14" s="116"/>
      <c r="S14" s="1"/>
    </row>
    <row r="15" spans="1:19" ht="15.75" thickBot="1" x14ac:dyDescent="0.3">
      <c r="A15" s="53"/>
      <c r="B15" s="54" t="s">
        <v>49</v>
      </c>
      <c r="C15" s="55">
        <f>ROUND(C9/'analisis de Vigas '!C16,2)</f>
        <v>15</v>
      </c>
      <c r="D15" s="55"/>
      <c r="E15" s="55" t="s">
        <v>86</v>
      </c>
      <c r="F15" s="55">
        <f>'analisis de Vigas '!A19</f>
        <v>1.0330000000000001E-2</v>
      </c>
      <c r="G15" s="54" t="s">
        <v>11</v>
      </c>
      <c r="H15" s="56">
        <f>'analisis de Vigas '!C22</f>
        <v>3.4</v>
      </c>
      <c r="I15" s="115">
        <v>5</v>
      </c>
      <c r="J15" s="116">
        <v>2.85</v>
      </c>
      <c r="K15" s="1" t="str">
        <f>"3/4 """</f>
        <v>3/4 "</v>
      </c>
      <c r="M15" s="115">
        <v>5</v>
      </c>
      <c r="N15" s="116">
        <v>2.85</v>
      </c>
      <c r="O15" s="1" t="str">
        <f>"3/4 """</f>
        <v>3/4 "</v>
      </c>
      <c r="Q15" s="116"/>
      <c r="R15" s="116"/>
      <c r="S15" s="1"/>
    </row>
    <row r="16" spans="1:19" ht="15.75" thickBot="1" x14ac:dyDescent="0.3">
      <c r="B16" s="6"/>
      <c r="I16" s="117">
        <v>6</v>
      </c>
      <c r="J16" s="118">
        <v>5.0999999999999996</v>
      </c>
      <c r="K16" s="55" t="str">
        <f>"1 """</f>
        <v>1 "</v>
      </c>
      <c r="M16" s="117">
        <v>6</v>
      </c>
      <c r="N16" s="118">
        <v>5.0999999999999996</v>
      </c>
      <c r="O16" s="55" t="str">
        <f>"1 """</f>
        <v>1 "</v>
      </c>
      <c r="Q16" s="116"/>
      <c r="R16" s="116"/>
      <c r="S16" s="1"/>
    </row>
    <row r="17" spans="1:19" ht="15.75" thickBot="1" x14ac:dyDescent="0.3">
      <c r="A17" s="18" t="s">
        <v>57</v>
      </c>
      <c r="B17">
        <f>'Vigas tipo 2'!D9*'Vigas tipo 2'!A11</f>
        <v>88704</v>
      </c>
      <c r="H17" s="6"/>
      <c r="I17" s="6"/>
      <c r="Q17" s="1"/>
      <c r="R17" s="1"/>
      <c r="S17" s="1"/>
    </row>
    <row r="18" spans="1:19" x14ac:dyDescent="0.25">
      <c r="A18" s="18" t="s">
        <v>58</v>
      </c>
      <c r="B18">
        <f>'Vigas tipo 2'!F9*'Vigas tipo 2'!A11</f>
        <v>21728</v>
      </c>
      <c r="H18" s="19"/>
      <c r="I18" s="113">
        <v>1</v>
      </c>
      <c r="J18" s="114">
        <v>0.32</v>
      </c>
      <c r="K18" s="46" t="str">
        <f>"1/4 """</f>
        <v>1/4 "</v>
      </c>
      <c r="M18" s="113">
        <v>1</v>
      </c>
      <c r="N18" s="114">
        <v>0.32</v>
      </c>
      <c r="O18" s="46" t="str">
        <f>"1/4 """</f>
        <v>1/4 "</v>
      </c>
      <c r="Q18" s="1"/>
      <c r="R18" s="1"/>
      <c r="S18" s="1"/>
    </row>
    <row r="19" spans="1:19" x14ac:dyDescent="0.25">
      <c r="A19" s="18" t="s">
        <v>59</v>
      </c>
      <c r="B19">
        <f>B17-B18</f>
        <v>66976</v>
      </c>
      <c r="G19" s="1"/>
      <c r="H19" s="19"/>
      <c r="I19" s="115">
        <v>2</v>
      </c>
      <c r="J19" s="116">
        <v>0.71</v>
      </c>
      <c r="K19" s="1" t="str">
        <f>"3/8 """</f>
        <v>3/8 "</v>
      </c>
      <c r="M19" s="115">
        <v>2</v>
      </c>
      <c r="N19" s="116">
        <v>0.71</v>
      </c>
      <c r="O19" s="1" t="str">
        <f>"3/8 """</f>
        <v>3/8 "</v>
      </c>
      <c r="Q19" s="1"/>
      <c r="R19" s="1"/>
      <c r="S19" s="1"/>
    </row>
    <row r="20" spans="1:19" x14ac:dyDescent="0.25">
      <c r="A20" s="18" t="s">
        <v>10</v>
      </c>
      <c r="B20">
        <f>ROUND(B19/(0.85*'Vigas tipo 2'!A9*'Vigas tipo 2'!D5),2)</f>
        <v>10.72</v>
      </c>
      <c r="G20" s="1">
        <v>2</v>
      </c>
      <c r="H20" s="108">
        <f>IF(G21&lt;G20,G20,G21)</f>
        <v>2</v>
      </c>
      <c r="I20" s="115">
        <v>3</v>
      </c>
      <c r="J20" s="116">
        <v>1.27</v>
      </c>
      <c r="K20" s="1" t="str">
        <f>"1/2 """</f>
        <v>1/2 "</v>
      </c>
      <c r="M20" s="115">
        <v>3</v>
      </c>
      <c r="N20" s="116">
        <v>1.27</v>
      </c>
      <c r="O20" s="1" t="str">
        <f>"1/2 """</f>
        <v>1/2 "</v>
      </c>
      <c r="Q20" s="1"/>
      <c r="R20" s="1"/>
      <c r="S20" s="1"/>
    </row>
    <row r="21" spans="1:19" x14ac:dyDescent="0.25">
      <c r="A21" s="18" t="s">
        <v>49</v>
      </c>
      <c r="B21">
        <f>ROUND(B20/'Vigas tipo 2'!C31,2)</f>
        <v>12.61</v>
      </c>
      <c r="G21" s="1">
        <v>1</v>
      </c>
      <c r="H21" s="19"/>
      <c r="I21" s="115">
        <v>4</v>
      </c>
      <c r="J21" s="116">
        <v>1.98</v>
      </c>
      <c r="K21" s="1" t="str">
        <f>"5/8 """</f>
        <v>5/8 "</v>
      </c>
      <c r="M21" s="115">
        <v>4</v>
      </c>
      <c r="N21" s="116">
        <v>1.98</v>
      </c>
      <c r="O21" s="1" t="str">
        <f>"5/8 """</f>
        <v>5/8 "</v>
      </c>
      <c r="Q21" s="1"/>
      <c r="R21" s="1"/>
      <c r="S21" s="1"/>
    </row>
    <row r="22" spans="1:19" x14ac:dyDescent="0.25">
      <c r="A22" s="18" t="s">
        <v>60</v>
      </c>
      <c r="B22">
        <f>ROUND(6000*(B21-'Vigas tipo 2'!F5)/Calculos!B21,2)</f>
        <v>3145.12</v>
      </c>
      <c r="C22" s="73" t="str">
        <f>IF(B22&lt;B23,"EL ACERO A COMPRESION NO FLUYE","EL ACERO A COMPRESION FLUYE")</f>
        <v>EL ACERO A COMPRESION FLUYE</v>
      </c>
      <c r="G22" s="1"/>
      <c r="H22" s="19"/>
      <c r="I22" s="115">
        <v>5</v>
      </c>
      <c r="J22" s="116">
        <v>2.85</v>
      </c>
      <c r="K22" s="1" t="str">
        <f>"3/4 """</f>
        <v>3/4 "</v>
      </c>
      <c r="M22" s="115">
        <v>5</v>
      </c>
      <c r="N22" s="116">
        <v>2.85</v>
      </c>
      <c r="O22" s="1" t="str">
        <f>"3/4 """</f>
        <v>3/4 "</v>
      </c>
      <c r="Q22" s="1"/>
      <c r="R22" s="1"/>
      <c r="S22" s="1"/>
    </row>
    <row r="23" spans="1:19" ht="15.75" thickBot="1" x14ac:dyDescent="0.3">
      <c r="A23" s="18" t="s">
        <v>61</v>
      </c>
      <c r="B23">
        <f>'Vigas tipo 2'!A11</f>
        <v>2800</v>
      </c>
      <c r="H23" s="19"/>
      <c r="I23" s="117">
        <v>6</v>
      </c>
      <c r="J23" s="118">
        <v>5.0999999999999996</v>
      </c>
      <c r="K23" s="55" t="str">
        <f>"1 """</f>
        <v>1 "</v>
      </c>
      <c r="M23" s="117">
        <v>6</v>
      </c>
      <c r="N23" s="118">
        <v>5.0999999999999996</v>
      </c>
      <c r="O23" s="55" t="str">
        <f>"1 """</f>
        <v>1 "</v>
      </c>
    </row>
    <row r="24" spans="1:19" x14ac:dyDescent="0.25">
      <c r="A24" s="18" t="s">
        <v>62</v>
      </c>
      <c r="B24">
        <v>1</v>
      </c>
      <c r="H24" s="19"/>
      <c r="I24" s="19"/>
    </row>
    <row r="25" spans="1:19" x14ac:dyDescent="0.25">
      <c r="A25" s="18" t="s">
        <v>63</v>
      </c>
      <c r="B25">
        <f>ROUND(('Vigas tipo 2'!F9*6000-'Vigas tipo 2'!D9*'Vigas tipo 2'!A11)/(0.85*'Vigas tipo 2'!A9*'Vigas tipo 2'!D5),2)</f>
        <v>-6.75</v>
      </c>
      <c r="H25" s="19"/>
      <c r="I25" s="19"/>
    </row>
    <row r="26" spans="1:19" x14ac:dyDescent="0.25">
      <c r="A26" s="18" t="s">
        <v>64</v>
      </c>
      <c r="B26">
        <f>ROUND(-'Vigas tipo 2'!F9*'Vigas tipo 2'!C31*'Vigas tipo 2'!F5*6000/(0.85*'Vigas tipo 2'!A9*'Vigas tipo 2'!D5),2)</f>
        <v>-38.01</v>
      </c>
      <c r="H26" s="19"/>
      <c r="I26" s="19"/>
    </row>
    <row r="27" spans="1:19" x14ac:dyDescent="0.25">
      <c r="A27" s="18" t="s">
        <v>65</v>
      </c>
      <c r="B27">
        <f>ROUND((-B25+SQRT(B25^2-4*B24*B26))/(2*B24),2)</f>
        <v>10.4</v>
      </c>
      <c r="C27">
        <f>IF(B27&gt;0,B27,IF(B28&lt;0,"DISEÑO DENEGANO",B28))</f>
        <v>10.4</v>
      </c>
      <c r="H27" s="19"/>
      <c r="I27" s="19"/>
    </row>
    <row r="28" spans="1:19" x14ac:dyDescent="0.25">
      <c r="A28" s="18" t="s">
        <v>66</v>
      </c>
      <c r="B28">
        <f>ROUND((-B25-SQRT(B25^2-4*B24*B26))/(2*B24),2)</f>
        <v>-3.65</v>
      </c>
      <c r="H28" s="19"/>
      <c r="I28" s="19"/>
    </row>
    <row r="29" spans="1:19" x14ac:dyDescent="0.25">
      <c r="A29" s="18" t="s">
        <v>67</v>
      </c>
      <c r="B29">
        <f>ROUND(6000*(C27-'Vigas tipo 2'!C31*'Vigas tipo 2'!F5)/C27,2)</f>
        <v>3057.69</v>
      </c>
      <c r="C29" s="73" t="str">
        <f>IF(B29&lt;B23,"EL ACERO A COMPRESION NO FLUYE","EL ACERO A COMPRESION FLUYE")</f>
        <v>EL ACERO A COMPRESION FLUYE</v>
      </c>
      <c r="H29" s="19"/>
      <c r="I29" s="19"/>
    </row>
    <row r="30" spans="1:19" x14ac:dyDescent="0.25">
      <c r="A30" s="18" t="s">
        <v>68</v>
      </c>
      <c r="H30" s="19"/>
      <c r="I30" s="19"/>
    </row>
    <row r="31" spans="1:19" x14ac:dyDescent="0.25">
      <c r="A31" s="18" t="s">
        <v>58</v>
      </c>
      <c r="B31">
        <f>'Vigas tipo 2'!F9*Calculos!B29</f>
        <v>23727.6744</v>
      </c>
      <c r="H31" s="19"/>
      <c r="I31" s="19"/>
    </row>
    <row r="32" spans="1:19" x14ac:dyDescent="0.25">
      <c r="A32" s="18" t="s">
        <v>59</v>
      </c>
      <c r="B32">
        <f>'Vigas tipo 2'!D9*'Vigas tipo 2'!A11-Calculos!B31</f>
        <v>64976.325599999996</v>
      </c>
      <c r="H32" s="19"/>
      <c r="I32" s="19"/>
    </row>
    <row r="33" spans="1:3" x14ac:dyDescent="0.25">
      <c r="A33" s="18" t="s">
        <v>69</v>
      </c>
      <c r="B33">
        <f>ROUND(B32*('Vigas tipo 2'!D7-Calculos!C27/2)+Calculos!B31*('Vigas tipo 2'!D7-'Vigas tipo 2'!F5),2)</f>
        <v>4309773.0599999996</v>
      </c>
      <c r="C33">
        <f>ROUND(B33/100000,2)</f>
        <v>43.1</v>
      </c>
    </row>
    <row r="34" spans="1:3" x14ac:dyDescent="0.25">
      <c r="A34" s="18" t="s">
        <v>70</v>
      </c>
      <c r="B34">
        <f>0.9*B33</f>
        <v>3878795.7539999997</v>
      </c>
      <c r="C34">
        <f>ROUND(B34/100000,2)</f>
        <v>38.79</v>
      </c>
    </row>
    <row r="35" spans="1:3" x14ac:dyDescent="0.25">
      <c r="A35" s="18"/>
    </row>
    <row r="36" spans="1:3" x14ac:dyDescent="0.25">
      <c r="A36" s="18"/>
    </row>
    <row r="37" spans="1:3" x14ac:dyDescent="0.25">
      <c r="A37" s="18"/>
    </row>
    <row r="38" spans="1:3" x14ac:dyDescent="0.25">
      <c r="A38" s="18"/>
    </row>
    <row r="39" spans="1:3" x14ac:dyDescent="0.25">
      <c r="A39" s="18"/>
    </row>
    <row r="40" spans="1:3" x14ac:dyDescent="0.25">
      <c r="A40" s="18"/>
    </row>
    <row r="41" spans="1:3" x14ac:dyDescent="0.25">
      <c r="A41" s="18"/>
    </row>
    <row r="42" spans="1:3" x14ac:dyDescent="0.25">
      <c r="A42" s="18"/>
    </row>
    <row r="43" spans="1:3" x14ac:dyDescent="0.25">
      <c r="A43" s="18"/>
    </row>
    <row r="44" spans="1:3" x14ac:dyDescent="0.25">
      <c r="A44" s="18"/>
    </row>
    <row r="45" spans="1:3" x14ac:dyDescent="0.25">
      <c r="A45" s="18"/>
    </row>
    <row r="46" spans="1:3" x14ac:dyDescent="0.25">
      <c r="A46" s="18"/>
    </row>
    <row r="47" spans="1:3" x14ac:dyDescent="0.25">
      <c r="A47" s="18"/>
    </row>
    <row r="48" spans="1:3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O79"/>
  <sheetViews>
    <sheetView showGridLines="0" tabSelected="1" workbookViewId="0">
      <selection activeCell="K66" sqref="K66"/>
    </sheetView>
  </sheetViews>
  <sheetFormatPr baseColWidth="10" defaultRowHeight="15" x14ac:dyDescent="0.25"/>
  <cols>
    <col min="1" max="1" width="2.7109375" customWidth="1"/>
    <col min="2" max="2" width="8.5703125" customWidth="1"/>
    <col min="3" max="3" width="18.7109375" customWidth="1"/>
    <col min="4" max="4" width="9.7109375" customWidth="1"/>
    <col min="5" max="5" width="12" customWidth="1"/>
    <col min="6" max="6" width="9.7109375" customWidth="1"/>
    <col min="7" max="7" width="8.42578125" customWidth="1"/>
    <col min="8" max="8" width="9" customWidth="1"/>
    <col min="9" max="9" width="9.28515625" customWidth="1"/>
    <col min="10" max="10" width="9.5703125" customWidth="1"/>
    <col min="11" max="12" width="7.85546875" customWidth="1"/>
    <col min="13" max="13" width="7.7109375" customWidth="1"/>
    <col min="14" max="14" width="4.28515625" customWidth="1"/>
  </cols>
  <sheetData>
    <row r="1" spans="1:14" x14ac:dyDescent="0.25">
      <c r="N1" s="2"/>
    </row>
    <row r="2" spans="1:14" ht="8.25" customHeight="1" x14ac:dyDescent="0.25"/>
    <row r="3" spans="1:14" ht="24" customHeight="1" x14ac:dyDescent="0.25">
      <c r="B3" s="15"/>
      <c r="C3" s="15"/>
      <c r="D3" s="15"/>
      <c r="E3" s="15"/>
      <c r="F3" s="15"/>
    </row>
    <row r="4" spans="1:14" ht="19.5" customHeight="1" x14ac:dyDescent="0.25">
      <c r="A4" s="2"/>
      <c r="B4" s="162" t="s">
        <v>1</v>
      </c>
      <c r="C4" s="162"/>
      <c r="D4" s="162"/>
      <c r="E4" s="162"/>
      <c r="F4" s="162"/>
      <c r="G4" s="11"/>
      <c r="H4" s="2"/>
    </row>
    <row r="5" spans="1:14" ht="17.25" customHeight="1" x14ac:dyDescent="3.5">
      <c r="A5" s="64"/>
      <c r="B5" s="167" t="s">
        <v>105</v>
      </c>
      <c r="C5" s="167"/>
      <c r="D5" s="58">
        <v>30</v>
      </c>
      <c r="E5" s="59" t="s">
        <v>50</v>
      </c>
      <c r="F5" s="58">
        <v>6</v>
      </c>
      <c r="G5" s="11"/>
      <c r="H5" s="5"/>
    </row>
    <row r="6" spans="1:14" ht="15.75" customHeight="1" x14ac:dyDescent="0.25">
      <c r="A6" s="87"/>
      <c r="B6" s="167" t="s">
        <v>106</v>
      </c>
      <c r="C6" s="167"/>
      <c r="D6" s="58">
        <v>40</v>
      </c>
      <c r="E6" s="59" t="s">
        <v>51</v>
      </c>
      <c r="F6" s="58">
        <v>6</v>
      </c>
      <c r="G6" s="7"/>
      <c r="H6" s="2"/>
    </row>
    <row r="7" spans="1:14" ht="15.75" customHeight="1" x14ac:dyDescent="0.25">
      <c r="A7" s="87">
        <v>3</v>
      </c>
      <c r="B7" s="168" t="s">
        <v>104</v>
      </c>
      <c r="C7" s="168"/>
      <c r="D7" s="57">
        <f>D6-F6</f>
        <v>34</v>
      </c>
      <c r="E7" s="1"/>
      <c r="F7" s="1"/>
      <c r="G7" s="3"/>
      <c r="H7" s="3"/>
    </row>
    <row r="8" spans="1:14" ht="9" customHeight="1" thickBot="1" x14ac:dyDescent="0.3">
      <c r="A8" s="87">
        <v>2</v>
      </c>
      <c r="B8" s="9"/>
      <c r="C8" s="9"/>
      <c r="E8" s="1"/>
      <c r="F8" s="3"/>
      <c r="G8" s="4"/>
      <c r="H8" s="4"/>
    </row>
    <row r="9" spans="1:14" ht="15.75" customHeight="1" thickTop="1" x14ac:dyDescent="0.25">
      <c r="A9" s="87">
        <f>VLOOKUP(A8,Calculos!A2:B7,2,FALSE)</f>
        <v>210</v>
      </c>
      <c r="B9" s="163" t="s">
        <v>103</v>
      </c>
      <c r="C9" s="164"/>
      <c r="D9" s="164"/>
      <c r="E9" s="129">
        <v>29</v>
      </c>
      <c r="F9" s="35" t="s">
        <v>2</v>
      </c>
      <c r="G9" s="4"/>
      <c r="H9" s="4"/>
    </row>
    <row r="10" spans="1:14" ht="15.75" customHeight="1" x14ac:dyDescent="0.25">
      <c r="A10" s="87">
        <v>2</v>
      </c>
      <c r="B10" s="158" t="s">
        <v>102</v>
      </c>
      <c r="C10" s="158"/>
      <c r="D10" s="158"/>
      <c r="E10" s="159"/>
      <c r="F10" s="38">
        <v>0.9</v>
      </c>
      <c r="G10" s="12"/>
      <c r="H10" s="4"/>
    </row>
    <row r="11" spans="1:14" ht="15.75" customHeight="1" x14ac:dyDescent="0.25">
      <c r="A11" s="87">
        <f>VLOOKUP(A10,Calculos!C2:D4,2,FALSE)</f>
        <v>4200</v>
      </c>
      <c r="B11" s="165" t="s">
        <v>3</v>
      </c>
      <c r="C11" s="166"/>
      <c r="D11" s="1"/>
      <c r="E11" s="10" t="s">
        <v>7</v>
      </c>
      <c r="F11" s="36"/>
      <c r="G11" s="4"/>
      <c r="H11" s="4"/>
    </row>
    <row r="12" spans="1:14" ht="16.5" customHeight="1" thickBot="1" x14ac:dyDescent="0.3">
      <c r="A12" s="87">
        <v>2</v>
      </c>
      <c r="B12" s="160" t="s">
        <v>6</v>
      </c>
      <c r="C12" s="161"/>
      <c r="D12" s="161"/>
      <c r="E12" s="161"/>
      <c r="F12" s="37"/>
      <c r="G12" s="4"/>
      <c r="H12" s="4"/>
    </row>
    <row r="13" spans="1:14" ht="15.75" customHeight="1" thickTop="1" thickBot="1" x14ac:dyDescent="0.3">
      <c r="A13" s="87">
        <f>VLOOKUP(A12,Calculos!F2:G3,2,FALSE)</f>
        <v>0.75</v>
      </c>
      <c r="H13" s="4"/>
    </row>
    <row r="14" spans="1:14" ht="15.75" customHeight="1" x14ac:dyDescent="0.25">
      <c r="A14" s="87"/>
      <c r="B14" s="148" t="s">
        <v>9</v>
      </c>
      <c r="C14" s="149"/>
      <c r="D14" s="150"/>
    </row>
    <row r="15" spans="1:14" ht="12" customHeight="1" thickBot="1" x14ac:dyDescent="0.3">
      <c r="A15" s="87" t="str">
        <f>IF(B25="NO REQUIERE ACERO A COMPRESION","N","M")</f>
        <v>N</v>
      </c>
      <c r="B15" s="151"/>
      <c r="C15" s="152"/>
      <c r="D15" s="153"/>
      <c r="H15" s="130">
        <f>F5</f>
        <v>6</v>
      </c>
      <c r="M15" s="4"/>
    </row>
    <row r="16" spans="1:14" ht="15" customHeight="1" x14ac:dyDescent="0.35">
      <c r="A16" s="87"/>
      <c r="B16" s="131" t="s">
        <v>94</v>
      </c>
      <c r="C16" s="74">
        <f>IF(A9&gt;280,0.85-(0.05*(A9-280)/70),0.85)</f>
        <v>0.85</v>
      </c>
      <c r="D16" s="20"/>
      <c r="M16" s="4"/>
      <c r="N16" s="16"/>
    </row>
    <row r="17" spans="1:13" ht="15" customHeight="1" x14ac:dyDescent="0.35">
      <c r="A17" s="87"/>
      <c r="B17" s="31" t="s">
        <v>95</v>
      </c>
      <c r="C17" s="39">
        <v>10.54</v>
      </c>
      <c r="D17" s="21" t="s">
        <v>18</v>
      </c>
      <c r="E17" s="2"/>
      <c r="F17" s="2"/>
      <c r="M17" s="4"/>
    </row>
    <row r="18" spans="1:13" ht="12" customHeight="1" x14ac:dyDescent="0.35">
      <c r="A18" s="87"/>
      <c r="B18" s="31" t="s">
        <v>101</v>
      </c>
      <c r="C18" s="40">
        <f>Calculos!G14</f>
        <v>1.0330000000000001E-2</v>
      </c>
      <c r="D18" s="21"/>
      <c r="E18" s="2"/>
      <c r="F18" s="2"/>
      <c r="M18" s="4"/>
    </row>
    <row r="19" spans="1:13" ht="15" customHeight="1" x14ac:dyDescent="0.35">
      <c r="A19" s="110">
        <f>ROUND(C17/(D7*D5),5)</f>
        <v>1.0330000000000001E-2</v>
      </c>
      <c r="B19" s="109" t="s">
        <v>99</v>
      </c>
      <c r="C19" s="41">
        <f>ROUND(C16*0.85*(A9/A11)*(6000/(6000+A11)),5)</f>
        <v>2.1250000000000002E-2</v>
      </c>
      <c r="D19" s="21"/>
      <c r="E19" s="135">
        <f>D6</f>
        <v>40</v>
      </c>
      <c r="M19" s="4"/>
    </row>
    <row r="20" spans="1:13" ht="15" customHeight="1" x14ac:dyDescent="0.35">
      <c r="A20" s="87">
        <v>2</v>
      </c>
      <c r="B20" s="25" t="s">
        <v>100</v>
      </c>
      <c r="C20" s="41">
        <f>Calculos!F14</f>
        <v>3.3300000000000001E-3</v>
      </c>
      <c r="D20" s="21"/>
      <c r="E20" s="3"/>
      <c r="F20" s="14">
        <f>D7</f>
        <v>34</v>
      </c>
      <c r="M20" s="4"/>
    </row>
    <row r="21" spans="1:13" ht="15" customHeight="1" x14ac:dyDescent="0.35">
      <c r="A21" s="87"/>
      <c r="B21" s="25" t="s">
        <v>98</v>
      </c>
      <c r="C21" s="39">
        <f>ROUND(A13*C19,5)</f>
        <v>1.5939999999999999E-2</v>
      </c>
      <c r="D21" s="21"/>
      <c r="E21" s="3"/>
      <c r="F21" s="2"/>
      <c r="M21" s="4"/>
    </row>
    <row r="22" spans="1:13" ht="15" customHeight="1" x14ac:dyDescent="0.35">
      <c r="A22" s="87"/>
      <c r="B22" s="25" t="s">
        <v>96</v>
      </c>
      <c r="C22" s="42">
        <f>ROUND(C20*D7*D5,2)</f>
        <v>3.4</v>
      </c>
      <c r="D22" s="21" t="s">
        <v>18</v>
      </c>
      <c r="E22" s="3"/>
      <c r="F22" s="2"/>
      <c r="M22" s="4"/>
    </row>
    <row r="23" spans="1:13" ht="16.5" customHeight="1" thickBot="1" x14ac:dyDescent="0.4">
      <c r="A23" s="2"/>
      <c r="B23" s="25" t="s">
        <v>97</v>
      </c>
      <c r="C23" s="42">
        <f>ROUND(C21*D7*D5,2)</f>
        <v>16.260000000000002</v>
      </c>
      <c r="D23" s="22" t="s">
        <v>18</v>
      </c>
      <c r="E23" s="4"/>
      <c r="F23" s="2"/>
      <c r="H23" s="130">
        <f>F6</f>
        <v>6</v>
      </c>
      <c r="M23" s="4"/>
    </row>
    <row r="24" spans="1:13" ht="15" customHeight="1" x14ac:dyDescent="0.25">
      <c r="A24" s="2"/>
      <c r="B24" s="154" t="str">
        <f>IF(A19&gt;C19,"LA FALLA PROBABLE ES FALLA FRAGIL","LA FALLA PROBABLE ES FALLA DUCTIL")</f>
        <v>LA FALLA PROBABLE ES FALLA DUCTIL</v>
      </c>
      <c r="C24" s="154"/>
      <c r="D24" s="154"/>
      <c r="E24" s="4"/>
      <c r="F24" s="2"/>
      <c r="M24" s="4"/>
    </row>
    <row r="25" spans="1:13" ht="15" customHeight="1" x14ac:dyDescent="0.25">
      <c r="A25" s="64"/>
      <c r="B25" s="154" t="str">
        <f>IF(AND(C17&gt;C22,C17&lt;C23),"NO REQUIERE ACERO A COMPRESION"," QUERIERE ACERO A COMPRESION")</f>
        <v>NO REQUIERE ACERO A COMPRESION</v>
      </c>
      <c r="C25" s="154"/>
      <c r="D25" s="154"/>
      <c r="E25" s="4"/>
      <c r="F25" s="4"/>
      <c r="G25" s="4"/>
      <c r="H25" s="4"/>
      <c r="I25" s="4"/>
      <c r="M25" s="4"/>
    </row>
    <row r="26" spans="1:13" ht="15" customHeight="1" x14ac:dyDescent="0.35">
      <c r="A26" s="64"/>
      <c r="E26" s="4"/>
      <c r="F26" s="4"/>
      <c r="G26" s="34">
        <f>D5</f>
        <v>30</v>
      </c>
      <c r="H26" s="4"/>
      <c r="I26" s="4"/>
    </row>
    <row r="27" spans="1:13" ht="15" customHeight="1" x14ac:dyDescent="0.25">
      <c r="A27" s="64"/>
      <c r="J27" s="4"/>
    </row>
    <row r="28" spans="1:13" ht="15" customHeight="1" x14ac:dyDescent="0.25">
      <c r="A28" s="64"/>
    </row>
    <row r="29" spans="1:13" ht="15" customHeight="1" thickBot="1" x14ac:dyDescent="0.3">
      <c r="A29" s="64"/>
    </row>
    <row r="30" spans="1:13" ht="15" customHeight="1" x14ac:dyDescent="0.25">
      <c r="A30" s="64"/>
      <c r="B30" s="142" t="str">
        <f>IF(B25="NO REQUIERE ACERO A COMPRESION","FALLA POR TRACCION","FALLA POR COMPRESION")</f>
        <v>FALLA POR TRACCION</v>
      </c>
      <c r="C30" s="143"/>
      <c r="D30" s="144"/>
      <c r="E30" s="4"/>
      <c r="F30" s="4"/>
      <c r="G30" s="8"/>
      <c r="H30" s="4"/>
    </row>
    <row r="31" spans="1:13" ht="15.75" thickBot="1" x14ac:dyDescent="0.3">
      <c r="A31" s="64"/>
      <c r="B31" s="145"/>
      <c r="C31" s="146"/>
      <c r="D31" s="147"/>
      <c r="E31" s="4"/>
      <c r="F31" s="4"/>
      <c r="G31" s="4"/>
      <c r="H31" s="4"/>
    </row>
    <row r="32" spans="1:13" ht="18.75" x14ac:dyDescent="0.3">
      <c r="A32" s="64"/>
      <c r="B32" s="132"/>
      <c r="C32" s="133"/>
      <c r="D32" s="48"/>
      <c r="E32" s="13"/>
    </row>
    <row r="33" spans="1:8" ht="21" x14ac:dyDescent="0.35">
      <c r="A33" s="64"/>
      <c r="B33" s="25" t="s">
        <v>19</v>
      </c>
      <c r="C33" s="43">
        <f>ROUND(IF(A15="N",C35*A11/(0.85*A9*D5),Calculos!C9),2)</f>
        <v>8.27</v>
      </c>
      <c r="D33" s="21" t="s">
        <v>8</v>
      </c>
      <c r="E33" s="17"/>
      <c r="G33" s="4"/>
    </row>
    <row r="34" spans="1:8" ht="18.75" x14ac:dyDescent="0.3">
      <c r="A34" s="64"/>
      <c r="B34" s="26"/>
      <c r="C34" s="43"/>
      <c r="D34" s="20"/>
      <c r="E34" s="13"/>
    </row>
    <row r="35" spans="1:8" ht="21" x14ac:dyDescent="0.35">
      <c r="A35" s="64"/>
      <c r="B35" s="25" t="s">
        <v>20</v>
      </c>
      <c r="C35" s="105">
        <f>ROUND(IF(C18=C20,C22,IF(A15="N",C17,Calculos!C14)),2)</f>
        <v>10.54</v>
      </c>
      <c r="D35" s="21" t="s">
        <v>18</v>
      </c>
      <c r="E35" s="28" t="s">
        <v>17</v>
      </c>
    </row>
    <row r="36" spans="1:8" ht="18.75" x14ac:dyDescent="0.35">
      <c r="A36" s="64"/>
      <c r="B36" s="31" t="s">
        <v>25</v>
      </c>
      <c r="C36" s="43" t="str">
        <f>IF(C35=C22,"",IF(A15="N","NO NECESITA",Calculos!C12))</f>
        <v>NO NECESITA</v>
      </c>
      <c r="D36" s="21" t="s">
        <v>18</v>
      </c>
      <c r="E36" s="28" t="str">
        <f>IF(C36="NO NECESITA","","ACERO A COMPRESION")</f>
        <v/>
      </c>
    </row>
    <row r="37" spans="1:8" ht="18.75" thickBot="1" x14ac:dyDescent="0.3">
      <c r="A37" s="64"/>
      <c r="B37" s="30" t="s">
        <v>24</v>
      </c>
      <c r="C37" s="44" t="str">
        <f>IF(C36="","",IF(C36="NO NECESITA","",ROUND(6000*(Calculos!C15-'analisis de Vigas '!F5)/Calculos!C15,2)))</f>
        <v/>
      </c>
      <c r="D37" s="27" t="s">
        <v>23</v>
      </c>
      <c r="E37" s="28" t="str">
        <f>IF(C37="","",IF(C37&gt;A11,"EL ACERO A COMPRESION FLUYE",""))</f>
        <v/>
      </c>
      <c r="F37" s="29"/>
      <c r="G37" s="29"/>
    </row>
    <row r="38" spans="1:8" x14ac:dyDescent="0.25">
      <c r="A38" s="64"/>
      <c r="E38" s="4"/>
    </row>
    <row r="39" spans="1:8" x14ac:dyDescent="0.25">
      <c r="A39" s="64"/>
      <c r="B39" s="13" t="s">
        <v>21</v>
      </c>
      <c r="C39" s="4"/>
      <c r="D39" s="4"/>
      <c r="E39" s="4"/>
    </row>
    <row r="40" spans="1:8" x14ac:dyDescent="0.25">
      <c r="B40" s="13" t="s">
        <v>22</v>
      </c>
      <c r="D40" s="4"/>
      <c r="E40" s="4"/>
    </row>
    <row r="42" spans="1:8" x14ac:dyDescent="0.25">
      <c r="C42" s="4"/>
      <c r="D42" s="4"/>
    </row>
    <row r="43" spans="1:8" ht="14.25" customHeight="1" x14ac:dyDescent="0.25"/>
    <row r="44" spans="1:8" ht="14.25" customHeight="1" x14ac:dyDescent="0.25"/>
    <row r="45" spans="1:8" ht="14.25" customHeight="1" x14ac:dyDescent="0.25"/>
    <row r="47" spans="1:8" x14ac:dyDescent="0.25">
      <c r="B47" s="155" t="s">
        <v>90</v>
      </c>
      <c r="C47" s="155"/>
      <c r="D47" s="155"/>
      <c r="E47" s="155"/>
      <c r="F47" s="155"/>
      <c r="G47" s="155"/>
      <c r="H47" s="155"/>
    </row>
    <row r="48" spans="1:8" x14ac:dyDescent="0.25">
      <c r="B48" s="155"/>
      <c r="C48" s="155"/>
      <c r="D48" s="155"/>
      <c r="E48" s="155"/>
      <c r="F48" s="155"/>
      <c r="G48" s="155"/>
      <c r="H48" s="155"/>
    </row>
    <row r="49" spans="2:15" ht="15.75" thickBot="1" x14ac:dyDescent="0.3">
      <c r="F49" s="1"/>
      <c r="H49" s="112" t="s">
        <v>89</v>
      </c>
    </row>
    <row r="50" spans="2:15" ht="16.5" thickBot="1" x14ac:dyDescent="0.3">
      <c r="B50" s="156" t="s">
        <v>87</v>
      </c>
      <c r="C50" s="157"/>
      <c r="D50" s="157"/>
      <c r="E50" s="187">
        <f>C35</f>
        <v>10.54</v>
      </c>
      <c r="F50" s="188" t="s">
        <v>18</v>
      </c>
    </row>
    <row r="51" spans="2:15" x14ac:dyDescent="0.25">
      <c r="F51" s="1"/>
      <c r="K51" s="64"/>
      <c r="L51" s="64"/>
      <c r="M51" s="64"/>
      <c r="N51" s="64"/>
      <c r="O51" s="64"/>
    </row>
    <row r="52" spans="2:15" ht="15.75" x14ac:dyDescent="0.25">
      <c r="B52" s="127">
        <v>4</v>
      </c>
      <c r="C52" s="128" t="s">
        <v>91</v>
      </c>
      <c r="D52" s="127">
        <v>2</v>
      </c>
      <c r="E52" s="128" t="s">
        <v>91</v>
      </c>
      <c r="F52" s="127">
        <v>0</v>
      </c>
      <c r="G52" s="130" t="s">
        <v>92</v>
      </c>
      <c r="H52" s="111">
        <f>ROUND(B52*K57+D52*M57+F52*O57,2)</f>
        <v>13.94</v>
      </c>
      <c r="I52" s="13" t="s">
        <v>18</v>
      </c>
      <c r="J52" s="73" t="str">
        <f>IF(H52&gt;=E50,"PASA!!!","NO PASA!!!")</f>
        <v>PASA!!!</v>
      </c>
      <c r="K52" s="64"/>
      <c r="L52" s="64"/>
      <c r="M52" s="64"/>
      <c r="N52" s="64"/>
      <c r="O52" s="64"/>
    </row>
    <row r="53" spans="2:15" x14ac:dyDescent="0.25">
      <c r="H53" s="1"/>
      <c r="I53" s="1"/>
      <c r="K53" s="64"/>
      <c r="L53" s="64"/>
      <c r="M53" s="64"/>
      <c r="N53" s="64"/>
      <c r="O53" s="64"/>
    </row>
    <row r="54" spans="2:15" ht="15.75" thickBot="1" x14ac:dyDescent="0.3">
      <c r="K54" s="2"/>
      <c r="L54" s="2"/>
      <c r="M54" s="2"/>
      <c r="N54" s="2"/>
      <c r="O54" s="2"/>
    </row>
    <row r="55" spans="2:15" ht="15.75" thickBot="1" x14ac:dyDescent="0.3">
      <c r="B55" s="156" t="s">
        <v>88</v>
      </c>
      <c r="C55" s="157"/>
      <c r="D55" s="157"/>
      <c r="E55" s="189" t="str">
        <f>C36</f>
        <v>NO NECESITA</v>
      </c>
      <c r="F55" s="188" t="s">
        <v>18</v>
      </c>
      <c r="K55" s="2"/>
      <c r="L55" s="2"/>
      <c r="M55" s="2"/>
      <c r="N55" s="2"/>
      <c r="O55" s="2"/>
    </row>
    <row r="56" spans="2:15" x14ac:dyDescent="0.25">
      <c r="K56" s="2"/>
      <c r="L56" s="2"/>
      <c r="M56" s="2"/>
      <c r="N56" s="2"/>
      <c r="O56" s="2"/>
    </row>
    <row r="57" spans="2:15" ht="15.75" x14ac:dyDescent="0.25">
      <c r="B57" s="127">
        <v>2</v>
      </c>
      <c r="C57" s="128" t="s">
        <v>91</v>
      </c>
      <c r="D57" s="127">
        <v>1</v>
      </c>
      <c r="E57" s="128" t="s">
        <v>91</v>
      </c>
      <c r="F57" s="127">
        <v>0</v>
      </c>
      <c r="G57" s="130" t="s">
        <v>92</v>
      </c>
      <c r="H57" s="111">
        <f>ROUND(B57*K60+D57*M60+F57*O60,2)</f>
        <v>6.02</v>
      </c>
      <c r="I57" s="13" t="s">
        <v>18</v>
      </c>
      <c r="J57" s="73" t="str">
        <f>IF(H57&gt;=E55,"PASA!!!","NO PASA!!!")</f>
        <v>NO PASA!!!</v>
      </c>
      <c r="K57" s="87">
        <f>VLOOKUP(K58,Calculos!I4:K9,2,FALSE)</f>
        <v>2.85</v>
      </c>
      <c r="L57" s="87"/>
      <c r="M57" s="87">
        <f>VLOOKUP(M58,Calculos!I11:K16,2,FALSE)</f>
        <v>1.27</v>
      </c>
      <c r="N57" s="87"/>
      <c r="O57" s="87">
        <f>VLOOKUP(O58,Calculos!I18:K23,2,FALSE)</f>
        <v>0.32</v>
      </c>
    </row>
    <row r="58" spans="2:15" x14ac:dyDescent="0.25">
      <c r="K58" s="87">
        <v>5</v>
      </c>
      <c r="L58" s="87"/>
      <c r="M58" s="87">
        <v>3</v>
      </c>
      <c r="N58" s="87"/>
      <c r="O58" s="87">
        <v>1</v>
      </c>
    </row>
    <row r="59" spans="2:15" x14ac:dyDescent="0.25">
      <c r="K59" s="87"/>
      <c r="L59" s="87"/>
      <c r="M59" s="87"/>
      <c r="N59" s="87"/>
      <c r="O59" s="87"/>
    </row>
    <row r="60" spans="2:15" ht="15.75" thickBot="1" x14ac:dyDescent="0.3">
      <c r="G60" s="2"/>
      <c r="H60" s="2"/>
      <c r="I60" s="2"/>
      <c r="K60" s="87">
        <f>VLOOKUP(K61,Calculos!M4:O9,2,FALSE)</f>
        <v>2.85</v>
      </c>
      <c r="L60" s="87"/>
      <c r="M60" s="87">
        <f>VLOOKUP(M61,Calculos!M11:O16,2,FALSE)</f>
        <v>0.32</v>
      </c>
      <c r="N60" s="87"/>
      <c r="O60" s="87">
        <f>VLOOKUP(O61,Calculos!M18:O23,2,FALSE)</f>
        <v>1.27</v>
      </c>
    </row>
    <row r="61" spans="2:15" ht="15.75" thickTop="1" x14ac:dyDescent="0.25">
      <c r="B61" s="136" t="s">
        <v>26</v>
      </c>
      <c r="C61" s="137"/>
      <c r="D61" s="137"/>
      <c r="E61" s="138"/>
      <c r="K61" s="87">
        <v>5</v>
      </c>
      <c r="L61" s="87"/>
      <c r="M61" s="87">
        <v>1</v>
      </c>
      <c r="N61" s="87"/>
      <c r="O61" s="87">
        <v>3</v>
      </c>
    </row>
    <row r="62" spans="2:15" x14ac:dyDescent="0.25">
      <c r="B62" s="139" t="s">
        <v>32</v>
      </c>
      <c r="C62" s="140"/>
      <c r="D62" s="140"/>
      <c r="E62" s="141"/>
      <c r="K62" s="2"/>
      <c r="L62" s="2"/>
      <c r="M62" s="2"/>
      <c r="N62" s="2"/>
      <c r="O62" s="2"/>
    </row>
    <row r="63" spans="2:15" x14ac:dyDescent="0.25">
      <c r="B63" s="119" t="s">
        <v>27</v>
      </c>
      <c r="C63" s="32" t="s">
        <v>28</v>
      </c>
      <c r="D63" s="32" t="s">
        <v>28</v>
      </c>
      <c r="E63" s="120" t="s">
        <v>29</v>
      </c>
      <c r="K63" s="2"/>
      <c r="L63" s="2"/>
      <c r="M63" s="2"/>
      <c r="N63" s="2"/>
      <c r="O63" s="2"/>
    </row>
    <row r="64" spans="2:15" x14ac:dyDescent="0.25">
      <c r="B64" s="119"/>
      <c r="C64" s="32" t="s">
        <v>46</v>
      </c>
      <c r="D64" s="32" t="s">
        <v>8</v>
      </c>
      <c r="E64" s="120" t="s">
        <v>30</v>
      </c>
      <c r="J64" s="2"/>
      <c r="K64" s="2"/>
      <c r="L64" s="2"/>
      <c r="M64" s="2"/>
      <c r="N64" s="2"/>
      <c r="O64" s="2"/>
    </row>
    <row r="65" spans="2:5" x14ac:dyDescent="0.25">
      <c r="B65" s="121"/>
      <c r="C65" s="33"/>
      <c r="D65" s="24"/>
      <c r="E65" s="122"/>
    </row>
    <row r="66" spans="2:5" x14ac:dyDescent="0.25">
      <c r="B66" s="121" t="s">
        <v>31</v>
      </c>
      <c r="C66" s="33" t="s">
        <v>33</v>
      </c>
      <c r="D66" s="33">
        <v>0.6</v>
      </c>
      <c r="E66" s="123">
        <v>0.28199999999999997</v>
      </c>
    </row>
    <row r="67" spans="2:5" x14ac:dyDescent="0.25">
      <c r="B67" s="121" t="s">
        <v>31</v>
      </c>
      <c r="C67" s="33" t="s">
        <v>34</v>
      </c>
      <c r="D67" s="33">
        <v>0.63500000000000001</v>
      </c>
      <c r="E67" s="123">
        <v>0.32</v>
      </c>
    </row>
    <row r="68" spans="2:5" x14ac:dyDescent="0.25">
      <c r="B68" s="121"/>
      <c r="C68" s="33" t="s">
        <v>35</v>
      </c>
      <c r="D68" s="33">
        <v>0.8</v>
      </c>
      <c r="E68" s="123">
        <v>0.5</v>
      </c>
    </row>
    <row r="69" spans="2:5" x14ac:dyDescent="0.25">
      <c r="B69" s="121">
        <v>3</v>
      </c>
      <c r="C69" s="33" t="s">
        <v>36</v>
      </c>
      <c r="D69" s="33">
        <v>0.95199999999999996</v>
      </c>
      <c r="E69" s="123">
        <v>0.71</v>
      </c>
    </row>
    <row r="70" spans="2:5" x14ac:dyDescent="0.25">
      <c r="B70" s="121"/>
      <c r="C70" s="33" t="s">
        <v>37</v>
      </c>
      <c r="D70" s="33">
        <v>1.2</v>
      </c>
      <c r="E70" s="123">
        <v>1.1299999999999999</v>
      </c>
    </row>
    <row r="71" spans="2:5" x14ac:dyDescent="0.25">
      <c r="B71" s="121">
        <v>4</v>
      </c>
      <c r="C71" s="33" t="s">
        <v>38</v>
      </c>
      <c r="D71" s="33">
        <v>1.27</v>
      </c>
      <c r="E71" s="123">
        <v>1.27</v>
      </c>
    </row>
    <row r="72" spans="2:5" x14ac:dyDescent="0.25">
      <c r="B72" s="121">
        <v>5</v>
      </c>
      <c r="C72" s="33" t="s">
        <v>39</v>
      </c>
      <c r="D72" s="33">
        <v>1.5880000000000001</v>
      </c>
      <c r="E72" s="123">
        <v>2</v>
      </c>
    </row>
    <row r="73" spans="2:5" x14ac:dyDescent="0.25">
      <c r="B73" s="121">
        <v>6</v>
      </c>
      <c r="C73" s="33" t="s">
        <v>40</v>
      </c>
      <c r="D73" s="33">
        <v>1.905</v>
      </c>
      <c r="E73" s="123">
        <v>2.84</v>
      </c>
    </row>
    <row r="74" spans="2:5" x14ac:dyDescent="0.25">
      <c r="B74" s="121">
        <v>7</v>
      </c>
      <c r="C74" s="33" t="s">
        <v>43</v>
      </c>
      <c r="D74" s="33">
        <v>2.2200000000000002</v>
      </c>
      <c r="E74" s="123">
        <v>3.88</v>
      </c>
    </row>
    <row r="75" spans="2:5" x14ac:dyDescent="0.25">
      <c r="B75" s="121">
        <v>8</v>
      </c>
      <c r="C75" s="33" t="s">
        <v>41</v>
      </c>
      <c r="D75" s="33">
        <v>2.54</v>
      </c>
      <c r="E75" s="123">
        <v>5.0999999999999996</v>
      </c>
    </row>
    <row r="76" spans="2:5" x14ac:dyDescent="0.25">
      <c r="B76" s="121">
        <v>9</v>
      </c>
      <c r="C76" s="33" t="s">
        <v>44</v>
      </c>
      <c r="D76" s="33">
        <v>2.86</v>
      </c>
      <c r="E76" s="123">
        <v>6.41</v>
      </c>
    </row>
    <row r="77" spans="2:5" x14ac:dyDescent="0.25">
      <c r="B77" s="121">
        <v>10</v>
      </c>
      <c r="C77" s="33" t="s">
        <v>45</v>
      </c>
      <c r="D77" s="33">
        <v>3.18</v>
      </c>
      <c r="E77" s="123">
        <v>7.92</v>
      </c>
    </row>
    <row r="78" spans="2:5" ht="15.75" thickBot="1" x14ac:dyDescent="0.3">
      <c r="B78" s="124">
        <v>11</v>
      </c>
      <c r="C78" s="125" t="s">
        <v>42</v>
      </c>
      <c r="D78" s="125">
        <v>3.58</v>
      </c>
      <c r="E78" s="126">
        <v>10.06</v>
      </c>
    </row>
    <row r="79" spans="2:5" ht="15.75" thickTop="1" x14ac:dyDescent="0.25"/>
  </sheetData>
  <mergeCells count="17">
    <mergeCell ref="B10:E10"/>
    <mergeCell ref="B12:E12"/>
    <mergeCell ref="B4:F4"/>
    <mergeCell ref="B9:D9"/>
    <mergeCell ref="B11:C11"/>
    <mergeCell ref="B5:C5"/>
    <mergeCell ref="B7:C7"/>
    <mergeCell ref="B6:C6"/>
    <mergeCell ref="B61:E61"/>
    <mergeCell ref="B62:E62"/>
    <mergeCell ref="B30:D31"/>
    <mergeCell ref="B14:D15"/>
    <mergeCell ref="B25:D25"/>
    <mergeCell ref="B24:D24"/>
    <mergeCell ref="B47:H48"/>
    <mergeCell ref="B50:D50"/>
    <mergeCell ref="B55:D55"/>
  </mergeCells>
  <pageMargins left="0.7" right="0.7" top="0.75" bottom="0.75" header="0.3" footer="0.3"/>
  <pageSetup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3</xdr:col>
                    <xdr:colOff>638175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190500</xdr:rowOff>
                  </from>
                  <to>
                    <xdr:col>6</xdr:col>
                    <xdr:colOff>9525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9525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Drop Down 21">
              <controlPr defaultSize="0" autoLine="0" autoPict="0">
                <anchor moveWithCells="1">
                  <from>
                    <xdr:col>2</xdr:col>
                    <xdr:colOff>0</xdr:colOff>
                    <xdr:row>51</xdr:row>
                    <xdr:rowOff>9525</xdr:rowOff>
                  </from>
                  <to>
                    <xdr:col>2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Drop Down 22">
              <controlPr defaultSize="0" autoLine="0" autoPict="0">
                <anchor moveWithCells="1">
                  <from>
                    <xdr:col>4</xdr:col>
                    <xdr:colOff>9525</xdr:colOff>
                    <xdr:row>51</xdr:row>
                    <xdr:rowOff>0</xdr:rowOff>
                  </from>
                  <to>
                    <xdr:col>4</xdr:col>
                    <xdr:colOff>495300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Drop Down 23">
              <controlPr defaultSize="0" autoLine="0" autoPict="0">
                <anchor moveWithCells="1">
                  <from>
                    <xdr:col>6</xdr:col>
                    <xdr:colOff>9525</xdr:colOff>
                    <xdr:row>50</xdr:row>
                    <xdr:rowOff>180975</xdr:rowOff>
                  </from>
                  <to>
                    <xdr:col>6</xdr:col>
                    <xdr:colOff>552450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Drop Down 24">
              <controlPr defaultSize="0" autoLine="0" autoPict="0">
                <anchor moveWithCells="1">
                  <from>
                    <xdr:col>2</xdr:col>
                    <xdr:colOff>0</xdr:colOff>
                    <xdr:row>56</xdr:row>
                    <xdr:rowOff>9525</xdr:rowOff>
                  </from>
                  <to>
                    <xdr:col>2</xdr:col>
                    <xdr:colOff>476250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Drop Down 25">
              <controlPr defaultSize="0" autoLine="0" autoPict="0">
                <anchor moveWithCells="1">
                  <from>
                    <xdr:col>4</xdr:col>
                    <xdr:colOff>0</xdr:colOff>
                    <xdr:row>56</xdr:row>
                    <xdr:rowOff>0</xdr:rowOff>
                  </from>
                  <to>
                    <xdr:col>4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Drop Down 26">
              <controlPr defaultSize="0" autoLine="0" autoPict="0">
                <anchor mov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6</xdr:col>
                    <xdr:colOff>542925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Drop Down 27">
              <controlPr defaultSize="0" autoLine="0" autoPict="0">
                <anchor moveWithCells="1">
                  <from>
                    <xdr:col>4</xdr:col>
                    <xdr:colOff>0</xdr:colOff>
                    <xdr:row>51</xdr:row>
                    <xdr:rowOff>9525</xdr:rowOff>
                  </from>
                  <to>
                    <xdr:col>4</xdr:col>
                    <xdr:colOff>495300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Drop Down 28">
              <controlPr defaultSize="0" autoLine="0" autoPict="0">
                <anchor moveWithCells="1">
                  <from>
                    <xdr:col>2</xdr:col>
                    <xdr:colOff>0</xdr:colOff>
                    <xdr:row>56</xdr:row>
                    <xdr:rowOff>9525</xdr:rowOff>
                  </from>
                  <to>
                    <xdr:col>2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Drop Down 29">
              <controlPr defaultSize="0" autoLine="0" autoPict="0">
                <anchor moveWithCells="1">
                  <from>
                    <xdr:col>4</xdr:col>
                    <xdr:colOff>0</xdr:colOff>
                    <xdr:row>56</xdr:row>
                    <xdr:rowOff>9525</xdr:rowOff>
                  </from>
                  <to>
                    <xdr:col>4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Drop Down 30">
              <controlPr defaultSize="0" autoLine="0" autoPict="0">
                <anchor moveWithCells="1">
                  <from>
                    <xdr:col>6</xdr:col>
                    <xdr:colOff>9525</xdr:colOff>
                    <xdr:row>55</xdr:row>
                    <xdr:rowOff>180975</xdr:rowOff>
                  </from>
                  <to>
                    <xdr:col>6</xdr:col>
                    <xdr:colOff>552450</xdr:colOff>
                    <xdr:row>56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42"/>
  <sheetViews>
    <sheetView showGridLines="0" workbookViewId="0">
      <selection activeCell="J57" sqref="J57"/>
    </sheetView>
  </sheetViews>
  <sheetFormatPr baseColWidth="10" defaultRowHeight="15" x14ac:dyDescent="0.25"/>
  <cols>
    <col min="1" max="1" width="4.5703125" customWidth="1"/>
    <col min="4" max="4" width="10.7109375" customWidth="1"/>
    <col min="6" max="6" width="9.85546875" customWidth="1"/>
    <col min="9" max="9" width="10.85546875" customWidth="1"/>
    <col min="10" max="10" width="10" customWidth="1"/>
    <col min="12" max="12" width="6.140625" customWidth="1"/>
  </cols>
  <sheetData>
    <row r="2" spans="1:13" x14ac:dyDescent="0.25">
      <c r="M2" s="2"/>
    </row>
    <row r="3" spans="1:13" x14ac:dyDescent="0.25">
      <c r="M3" s="2"/>
    </row>
    <row r="4" spans="1:13" ht="15.75" thickBot="1" x14ac:dyDescent="0.3"/>
    <row r="5" spans="1:13" ht="16.5" thickTop="1" x14ac:dyDescent="0.25">
      <c r="B5" s="179" t="s">
        <v>1</v>
      </c>
      <c r="C5" s="180"/>
      <c r="D5" s="180"/>
      <c r="E5" s="180"/>
      <c r="F5" s="181"/>
    </row>
    <row r="6" spans="1:13" x14ac:dyDescent="0.25">
      <c r="A6" s="87"/>
      <c r="B6" s="182" t="s">
        <v>4</v>
      </c>
      <c r="C6" s="167"/>
      <c r="D6" s="58">
        <v>30</v>
      </c>
      <c r="E6" s="59" t="s">
        <v>50</v>
      </c>
      <c r="F6" s="60">
        <v>6</v>
      </c>
    </row>
    <row r="7" spans="1:13" ht="15.75" thickBot="1" x14ac:dyDescent="0.3">
      <c r="A7" s="87"/>
      <c r="B7" s="183" t="s">
        <v>5</v>
      </c>
      <c r="C7" s="184"/>
      <c r="D7" s="61">
        <v>40</v>
      </c>
      <c r="E7" s="62" t="s">
        <v>51</v>
      </c>
      <c r="F7" s="63">
        <v>7.5</v>
      </c>
    </row>
    <row r="8" spans="1:13" ht="15.75" thickTop="1" x14ac:dyDescent="0.25">
      <c r="A8" s="87"/>
      <c r="B8" s="168" t="s">
        <v>0</v>
      </c>
      <c r="C8" s="168"/>
      <c r="D8" s="57">
        <f>D7-F7</f>
        <v>32.5</v>
      </c>
      <c r="E8" s="1"/>
      <c r="F8" s="1"/>
    </row>
    <row r="9" spans="1:13" ht="13.5" customHeight="1" thickBot="1" x14ac:dyDescent="0.3">
      <c r="A9" s="87">
        <v>2</v>
      </c>
      <c r="B9" s="9"/>
      <c r="C9" s="9"/>
    </row>
    <row r="10" spans="1:13" ht="14.25" customHeight="1" thickTop="1" thickBot="1" x14ac:dyDescent="0.3">
      <c r="A10" s="87">
        <f>VLOOKUP(A9,Calculos!A2:B7,2,FALSE)</f>
        <v>210</v>
      </c>
      <c r="B10" s="185" t="s">
        <v>53</v>
      </c>
      <c r="C10" s="186"/>
      <c r="D10" s="75">
        <v>10.54</v>
      </c>
    </row>
    <row r="11" spans="1:13" ht="16.5" thickTop="1" x14ac:dyDescent="0.25">
      <c r="A11" s="87">
        <v>2</v>
      </c>
      <c r="B11" s="158" t="s">
        <v>71</v>
      </c>
      <c r="C11" s="158"/>
      <c r="D11" s="158"/>
      <c r="E11" s="158"/>
      <c r="F11" s="76">
        <v>0.9</v>
      </c>
    </row>
    <row r="12" spans="1:13" ht="15.75" customHeight="1" x14ac:dyDescent="0.25">
      <c r="A12" s="87">
        <f>VLOOKUP(A11,Calculos!C2:D4,2,FALSE)</f>
        <v>4200</v>
      </c>
      <c r="B12" s="170" t="s">
        <v>3</v>
      </c>
      <c r="C12" s="158"/>
      <c r="D12" s="67"/>
      <c r="E12" s="66" t="s">
        <v>7</v>
      </c>
      <c r="F12" s="71"/>
    </row>
    <row r="13" spans="1:13" ht="16.5" thickBot="1" x14ac:dyDescent="0.3">
      <c r="A13" s="87">
        <v>2</v>
      </c>
      <c r="B13" s="171" t="s">
        <v>6</v>
      </c>
      <c r="C13" s="172"/>
      <c r="D13" s="172"/>
      <c r="E13" s="172"/>
      <c r="F13" s="72"/>
    </row>
    <row r="14" spans="1:13" ht="15.75" thickTop="1" x14ac:dyDescent="0.25">
      <c r="A14" s="87">
        <f>VLOOKUP(A13,Calculos!F2:G3,2,FALSE)</f>
        <v>0.75</v>
      </c>
    </row>
    <row r="15" spans="1:13" x14ac:dyDescent="0.25">
      <c r="A15" s="87"/>
    </row>
    <row r="16" spans="1:13" x14ac:dyDescent="0.25">
      <c r="A16" s="87"/>
    </row>
    <row r="17" spans="1:7" x14ac:dyDescent="0.25">
      <c r="E17" s="6">
        <f>F6</f>
        <v>6</v>
      </c>
    </row>
    <row r="20" spans="1:7" ht="18.75" x14ac:dyDescent="0.3">
      <c r="C20" s="97">
        <f>D7</f>
        <v>40</v>
      </c>
    </row>
    <row r="21" spans="1:7" ht="17.25" customHeight="1" x14ac:dyDescent="0.25">
      <c r="C21" s="95"/>
    </row>
    <row r="22" spans="1:7" ht="15.75" x14ac:dyDescent="0.25">
      <c r="E22" s="101" t="s">
        <v>80</v>
      </c>
      <c r="F22" s="96">
        <f>D10</f>
        <v>10.54</v>
      </c>
      <c r="G22" s="13" t="s">
        <v>18</v>
      </c>
    </row>
    <row r="23" spans="1:7" ht="15.75" x14ac:dyDescent="0.25">
      <c r="E23" s="100"/>
    </row>
    <row r="24" spans="1:7" ht="10.5" customHeight="1" x14ac:dyDescent="0.25">
      <c r="E24" s="6">
        <f>F7</f>
        <v>7.5</v>
      </c>
    </row>
    <row r="25" spans="1:7" ht="15.75" customHeight="1" x14ac:dyDescent="0.25">
      <c r="A25" s="2"/>
      <c r="B25" s="98"/>
    </row>
    <row r="26" spans="1:7" ht="18.75" x14ac:dyDescent="0.3">
      <c r="D26" s="97">
        <f>D6</f>
        <v>30</v>
      </c>
    </row>
    <row r="27" spans="1:7" ht="15.75" thickBot="1" x14ac:dyDescent="0.3"/>
    <row r="28" spans="1:7" ht="15.75" customHeight="1" thickTop="1" x14ac:dyDescent="0.25">
      <c r="B28" s="2"/>
      <c r="C28" s="173" t="s">
        <v>93</v>
      </c>
      <c r="D28" s="174"/>
      <c r="E28" s="175"/>
    </row>
    <row r="29" spans="1:7" ht="15.75" thickBot="1" x14ac:dyDescent="0.3">
      <c r="B29" s="2"/>
      <c r="C29" s="176"/>
      <c r="D29" s="177"/>
      <c r="E29" s="178"/>
    </row>
    <row r="30" spans="1:7" ht="18.75" x14ac:dyDescent="0.35">
      <c r="B30" s="2"/>
      <c r="C30" s="77" t="s">
        <v>48</v>
      </c>
      <c r="D30" s="74">
        <f>IF(A10&gt;280,0.85-(0.05*(A10-280)/70),0.85)</f>
        <v>0.85</v>
      </c>
      <c r="E30" s="78"/>
    </row>
    <row r="31" spans="1:7" ht="18.75" x14ac:dyDescent="0.35">
      <c r="B31" s="2"/>
      <c r="C31" s="79" t="s">
        <v>47</v>
      </c>
      <c r="D31" s="40">
        <f>ROUND(D10/(D8*D6),5)</f>
        <v>1.081E-2</v>
      </c>
      <c r="E31" s="80"/>
    </row>
    <row r="32" spans="1:7" ht="16.5" x14ac:dyDescent="0.3">
      <c r="B32" s="2"/>
      <c r="C32" s="81" t="s">
        <v>56</v>
      </c>
      <c r="D32" s="41">
        <f>ROUND(D30*0.85*(A10/A12)*(6000/(6000+A12)),5)</f>
        <v>2.1250000000000002E-2</v>
      </c>
      <c r="E32" s="80"/>
    </row>
    <row r="33" spans="2:8" ht="19.5" thickBot="1" x14ac:dyDescent="0.4">
      <c r="B33" s="2"/>
      <c r="C33" s="79" t="s">
        <v>55</v>
      </c>
      <c r="D33" s="41">
        <f>ROUND(0.7*(SQRT(A10)/A12),5)</f>
        <v>2.4199999999999998E-3</v>
      </c>
      <c r="E33" s="80" t="str">
        <f>IF(D33&lt;D31, "OK!!","DISEÑODENEGADO")</f>
        <v>OK!!</v>
      </c>
    </row>
    <row r="34" spans="2:8" ht="20.25" thickTop="1" thickBot="1" x14ac:dyDescent="0.4">
      <c r="B34" s="2"/>
      <c r="C34" s="79" t="s">
        <v>54</v>
      </c>
      <c r="D34" s="39">
        <f>ROUND(A14*D32,5)</f>
        <v>1.5939999999999999E-2</v>
      </c>
      <c r="E34" s="13" t="str">
        <f>IF(D34&gt;D31, "OK!!","MAL!!")</f>
        <v>OK!!</v>
      </c>
      <c r="F34" s="84" t="str">
        <f>IF(AND(E33="OK!!",E34="OK!!"),"DISEÑO APROBADO","DISEÑO DENEGADO")</f>
        <v>DISEÑO APROBADO</v>
      </c>
      <c r="G34" s="85"/>
    </row>
    <row r="35" spans="2:8" ht="19.5" thickTop="1" x14ac:dyDescent="0.35">
      <c r="B35" s="2"/>
      <c r="C35" s="79" t="s">
        <v>72</v>
      </c>
      <c r="D35" s="42">
        <f>ROUND(D10*A12*(D8-Calculos!F8/2)/100000,2)</f>
        <v>12.56</v>
      </c>
      <c r="E35" s="80" t="s">
        <v>74</v>
      </c>
    </row>
    <row r="36" spans="2:8" ht="20.25" thickBot="1" x14ac:dyDescent="0.4">
      <c r="B36" s="2"/>
      <c r="C36" s="82" t="s">
        <v>73</v>
      </c>
      <c r="D36" s="86">
        <f>ROUND(F11*D35,2)</f>
        <v>11.3</v>
      </c>
      <c r="E36" s="83" t="s">
        <v>74</v>
      </c>
    </row>
    <row r="37" spans="2:8" ht="15.75" thickTop="1" x14ac:dyDescent="0.25">
      <c r="B37" s="2"/>
    </row>
    <row r="39" spans="2:8" x14ac:dyDescent="0.25">
      <c r="B39" s="169" t="s">
        <v>107</v>
      </c>
      <c r="C39" s="169"/>
      <c r="D39" s="169"/>
      <c r="E39" s="169"/>
      <c r="F39" s="169"/>
      <c r="G39" s="169"/>
      <c r="H39" s="169"/>
    </row>
    <row r="40" spans="2:8" x14ac:dyDescent="0.25">
      <c r="B40" s="169"/>
      <c r="C40" s="169"/>
      <c r="D40" s="169"/>
      <c r="E40" s="169"/>
      <c r="F40" s="169"/>
      <c r="G40" s="169"/>
      <c r="H40" s="169"/>
    </row>
    <row r="41" spans="2:8" x14ac:dyDescent="0.25">
      <c r="B41" s="169"/>
      <c r="C41" s="169"/>
      <c r="D41" s="169"/>
      <c r="E41" s="169"/>
      <c r="F41" s="169"/>
      <c r="G41" s="169"/>
      <c r="H41" s="169"/>
    </row>
    <row r="42" spans="2:8" x14ac:dyDescent="0.25">
      <c r="B42" s="169"/>
      <c r="C42" s="169"/>
      <c r="D42" s="169"/>
      <c r="E42" s="169"/>
      <c r="F42" s="169"/>
      <c r="G42" s="169"/>
      <c r="H42" s="169"/>
    </row>
  </sheetData>
  <mergeCells count="10">
    <mergeCell ref="B39:H42"/>
    <mergeCell ref="B12:C12"/>
    <mergeCell ref="B13:E13"/>
    <mergeCell ref="C28:E29"/>
    <mergeCell ref="B5:F5"/>
    <mergeCell ref="B6:C6"/>
    <mergeCell ref="B7:C7"/>
    <mergeCell ref="B8:C8"/>
    <mergeCell ref="B10:C10"/>
    <mergeCell ref="B11:E11"/>
  </mergeCells>
  <pageMargins left="0.7" right="0.7" top="0.75" bottom="0.75" header="0.3" footer="0.3"/>
  <pageSetup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Drop Down 13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4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Drop Down 14">
              <controlPr defaultSize="0" autoLine="0" autoPict="0">
                <anchor moveWithCells="1">
                  <from>
                    <xdr:col>5</xdr:col>
                    <xdr:colOff>0</xdr:colOff>
                    <xdr:row>10</xdr:row>
                    <xdr:rowOff>190500</xdr:rowOff>
                  </from>
                  <to>
                    <xdr:col>6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Drop Down 15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9525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3:M39"/>
  <sheetViews>
    <sheetView showGridLines="0" workbookViewId="0">
      <selection activeCell="I44" sqref="I44"/>
    </sheetView>
  </sheetViews>
  <sheetFormatPr baseColWidth="10" defaultRowHeight="15" x14ac:dyDescent="0.25"/>
  <cols>
    <col min="1" max="1" width="5" customWidth="1"/>
    <col min="4" max="4" width="10.85546875" customWidth="1"/>
    <col min="6" max="6" width="9.42578125" customWidth="1"/>
    <col min="8" max="8" width="8.28515625" customWidth="1"/>
    <col min="12" max="12" width="6.28515625" customWidth="1"/>
    <col min="13" max="13" width="10.28515625" customWidth="1"/>
  </cols>
  <sheetData>
    <row r="3" spans="1:7" ht="15.75" thickBot="1" x14ac:dyDescent="0.3"/>
    <row r="4" spans="1:7" ht="15.75" customHeight="1" thickTop="1" x14ac:dyDescent="0.25">
      <c r="B4" s="179" t="s">
        <v>1</v>
      </c>
      <c r="C4" s="180"/>
      <c r="D4" s="180"/>
      <c r="E4" s="180"/>
      <c r="F4" s="181"/>
      <c r="G4" s="11"/>
    </row>
    <row r="5" spans="1:7" ht="15" customHeight="1" x14ac:dyDescent="0.25">
      <c r="A5" s="87"/>
      <c r="B5" s="182" t="s">
        <v>4</v>
      </c>
      <c r="C5" s="167"/>
      <c r="D5" s="58">
        <v>35</v>
      </c>
      <c r="E5" s="59" t="s">
        <v>50</v>
      </c>
      <c r="F5" s="60">
        <v>6</v>
      </c>
      <c r="G5" s="11"/>
    </row>
    <row r="6" spans="1:7" ht="15" customHeight="1" thickBot="1" x14ac:dyDescent="0.3">
      <c r="A6" s="2"/>
      <c r="B6" s="183" t="s">
        <v>5</v>
      </c>
      <c r="C6" s="184"/>
      <c r="D6" s="61">
        <v>60</v>
      </c>
      <c r="E6" s="62" t="s">
        <v>51</v>
      </c>
      <c r="F6" s="63">
        <v>6</v>
      </c>
      <c r="G6" s="7"/>
    </row>
    <row r="7" spans="1:7" ht="15" customHeight="1" thickTop="1" x14ac:dyDescent="0.25">
      <c r="A7" s="87"/>
      <c r="B7" s="168" t="s">
        <v>0</v>
      </c>
      <c r="C7" s="168"/>
      <c r="D7" s="57">
        <f>D6-F6</f>
        <v>54</v>
      </c>
      <c r="E7" s="1"/>
      <c r="F7" s="1"/>
      <c r="G7" s="3"/>
    </row>
    <row r="8" spans="1:7" ht="15" customHeight="1" thickBot="1" x14ac:dyDescent="0.3">
      <c r="A8" s="87">
        <v>2</v>
      </c>
      <c r="B8" s="9"/>
      <c r="C8" s="9"/>
      <c r="E8" s="1"/>
      <c r="F8" s="3"/>
      <c r="G8" s="4"/>
    </row>
    <row r="9" spans="1:7" ht="15" customHeight="1" thickTop="1" x14ac:dyDescent="0.25">
      <c r="A9" s="87">
        <f>VLOOKUP(A8,Calculos!A2:B7,2,FALSE)</f>
        <v>210</v>
      </c>
      <c r="B9" s="185" t="s">
        <v>53</v>
      </c>
      <c r="C9" s="186"/>
      <c r="D9" s="68">
        <v>31.68</v>
      </c>
      <c r="E9" s="69" t="s">
        <v>52</v>
      </c>
      <c r="F9" s="70">
        <v>7.76</v>
      </c>
      <c r="G9" s="4"/>
    </row>
    <row r="10" spans="1:7" ht="15" customHeight="1" x14ac:dyDescent="0.25">
      <c r="A10" s="87">
        <v>1</v>
      </c>
      <c r="B10" s="170" t="s">
        <v>71</v>
      </c>
      <c r="C10" s="158"/>
      <c r="D10" s="158"/>
      <c r="E10" s="158"/>
      <c r="F10" s="65">
        <v>0.9</v>
      </c>
      <c r="G10" s="12"/>
    </row>
    <row r="11" spans="1:7" ht="15" customHeight="1" x14ac:dyDescent="0.25">
      <c r="A11" s="87">
        <f>VLOOKUP(A10,Calculos!C2:D4,2,FALSE)</f>
        <v>2800</v>
      </c>
      <c r="B11" s="170" t="s">
        <v>3</v>
      </c>
      <c r="C11" s="158"/>
      <c r="D11" s="67"/>
      <c r="E11" s="66" t="s">
        <v>7</v>
      </c>
      <c r="F11" s="71"/>
      <c r="G11" s="4"/>
    </row>
    <row r="12" spans="1:7" ht="15.75" customHeight="1" thickBot="1" x14ac:dyDescent="0.3">
      <c r="A12" s="87">
        <v>1</v>
      </c>
      <c r="B12" s="171" t="s">
        <v>6</v>
      </c>
      <c r="C12" s="172"/>
      <c r="D12" s="172"/>
      <c r="E12" s="172"/>
      <c r="F12" s="72"/>
      <c r="G12" s="4"/>
    </row>
    <row r="13" spans="1:7" ht="12.75" customHeight="1" thickTop="1" x14ac:dyDescent="0.25">
      <c r="A13" s="87">
        <f>VLOOKUP(A12,Calculos!F2:G3,2,FALSE)</f>
        <v>0.5</v>
      </c>
    </row>
    <row r="14" spans="1:7" ht="15" customHeight="1" x14ac:dyDescent="0.25">
      <c r="A14" s="87"/>
    </row>
    <row r="15" spans="1:7" ht="9.75" customHeight="1" x14ac:dyDescent="0.25"/>
    <row r="16" spans="1:7" ht="14.25" customHeight="1" x14ac:dyDescent="0.25">
      <c r="E16" s="6">
        <f>F5</f>
        <v>6</v>
      </c>
    </row>
    <row r="17" spans="1:11" ht="14.25" customHeight="1" x14ac:dyDescent="0.25"/>
    <row r="18" spans="1:11" ht="14.25" customHeight="1" x14ac:dyDescent="0.25">
      <c r="B18" s="99"/>
      <c r="E18" s="101" t="s">
        <v>81</v>
      </c>
      <c r="F18" s="99">
        <f>F9</f>
        <v>7.76</v>
      </c>
      <c r="G18" s="13" t="s">
        <v>18</v>
      </c>
    </row>
    <row r="19" spans="1:11" ht="18.75" x14ac:dyDescent="0.3">
      <c r="C19" s="97">
        <f>D6</f>
        <v>60</v>
      </c>
    </row>
    <row r="20" spans="1:11" x14ac:dyDescent="0.25">
      <c r="A20" s="134"/>
      <c r="C20" s="95"/>
    </row>
    <row r="21" spans="1:11" ht="15.75" x14ac:dyDescent="0.25">
      <c r="A21" s="134"/>
      <c r="E21" s="101" t="s">
        <v>80</v>
      </c>
      <c r="F21" s="99">
        <f>D9</f>
        <v>31.68</v>
      </c>
      <c r="G21" s="13" t="s">
        <v>18</v>
      </c>
    </row>
    <row r="22" spans="1:11" ht="15.75" x14ac:dyDescent="0.25">
      <c r="E22" s="100"/>
    </row>
    <row r="23" spans="1:11" x14ac:dyDescent="0.25">
      <c r="E23" s="6">
        <f>F6</f>
        <v>6</v>
      </c>
    </row>
    <row r="25" spans="1:11" ht="18.75" x14ac:dyDescent="0.3">
      <c r="D25" s="97">
        <f>D5</f>
        <v>35</v>
      </c>
    </row>
    <row r="28" spans="1:11" ht="15.75" thickBot="1" x14ac:dyDescent="0.3"/>
    <row r="29" spans="1:11" ht="15.75" thickTop="1" x14ac:dyDescent="0.25">
      <c r="A29" s="134"/>
      <c r="B29" s="173" t="s">
        <v>93</v>
      </c>
      <c r="C29" s="174"/>
      <c r="D29" s="175"/>
    </row>
    <row r="30" spans="1:11" ht="15.75" thickBot="1" x14ac:dyDescent="0.3">
      <c r="A30" s="134"/>
      <c r="B30" s="176"/>
      <c r="C30" s="177"/>
      <c r="D30" s="178"/>
      <c r="K30" s="6"/>
    </row>
    <row r="31" spans="1:11" ht="18.75" x14ac:dyDescent="0.35">
      <c r="A31" s="134"/>
      <c r="B31" s="88" t="s">
        <v>48</v>
      </c>
      <c r="C31" s="74">
        <f>IF(A9&gt;280,0.85-(0.05*(A9-280)/70),0.85)</f>
        <v>0.85</v>
      </c>
      <c r="D31" s="89"/>
    </row>
    <row r="32" spans="1:11" ht="18.75" x14ac:dyDescent="0.35">
      <c r="A32" s="134"/>
      <c r="B32" s="90" t="s">
        <v>75</v>
      </c>
      <c r="C32" s="40">
        <f>Calculos!B29</f>
        <v>3057.69</v>
      </c>
      <c r="D32" s="91" t="s">
        <v>76</v>
      </c>
      <c r="E32" s="73" t="str">
        <f>IF(C32&lt;A11,"EL ACERO A COMPRESION NO FLUYE","EL ACERO A COMPRESION FLUYE")</f>
        <v>EL ACERO A COMPRESION FLUYE</v>
      </c>
    </row>
    <row r="33" spans="1:13" ht="19.5" x14ac:dyDescent="0.35">
      <c r="A33" s="134"/>
      <c r="B33" s="90" t="s">
        <v>77</v>
      </c>
      <c r="C33" s="41">
        <f>Calculos!C27</f>
        <v>10.4</v>
      </c>
      <c r="D33" s="92" t="s">
        <v>8</v>
      </c>
      <c r="I33" s="97"/>
    </row>
    <row r="34" spans="1:13" ht="18.75" x14ac:dyDescent="0.35">
      <c r="A34" s="134"/>
      <c r="B34" s="90" t="s">
        <v>72</v>
      </c>
      <c r="C34" s="42">
        <f>Calculos!C33</f>
        <v>43.1</v>
      </c>
      <c r="D34" s="92" t="s">
        <v>74</v>
      </c>
      <c r="I34" s="95"/>
    </row>
    <row r="35" spans="1:13" ht="20.25" thickBot="1" x14ac:dyDescent="0.4">
      <c r="A35" s="134"/>
      <c r="B35" s="93" t="s">
        <v>78</v>
      </c>
      <c r="C35" s="104">
        <f>Calculos!C34</f>
        <v>38.79</v>
      </c>
      <c r="D35" s="94" t="s">
        <v>74</v>
      </c>
      <c r="E35" s="102" t="s">
        <v>79</v>
      </c>
      <c r="F35" s="103"/>
      <c r="L35" s="96"/>
      <c r="M35" s="13"/>
    </row>
    <row r="36" spans="1:13" ht="16.5" thickTop="1" x14ac:dyDescent="0.25">
      <c r="K36" s="100"/>
    </row>
    <row r="37" spans="1:13" x14ac:dyDescent="0.25">
      <c r="K37" s="6"/>
    </row>
    <row r="39" spans="1:13" ht="18.75" x14ac:dyDescent="0.3">
      <c r="J39" s="97"/>
    </row>
  </sheetData>
  <mergeCells count="9">
    <mergeCell ref="B29:D30"/>
    <mergeCell ref="B4:F4"/>
    <mergeCell ref="B5:C5"/>
    <mergeCell ref="B6:C6"/>
    <mergeCell ref="B7:C7"/>
    <mergeCell ref="B10:E10"/>
    <mergeCell ref="B11:C11"/>
    <mergeCell ref="B12:E12"/>
    <mergeCell ref="B9:C9"/>
  </mergeCells>
  <pageMargins left="0.7" right="0.7" top="0.75" bottom="0.75" header="0.3" footer="0.3"/>
  <pageSetup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Drop Down 6">
              <controlPr defaultSize="0" autoLine="0" autoPict="0">
                <anchor moveWithCells="1"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Drop Down 7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190500</xdr:rowOff>
                  </from>
                  <to>
                    <xdr:col>6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Drop Down 8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9525</xdr:rowOff>
                  </from>
                  <to>
                    <xdr:col>6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Calculos</vt:lpstr>
      <vt:lpstr>analisis de Vigas </vt:lpstr>
      <vt:lpstr>Vigas tipo 1</vt:lpstr>
      <vt:lpstr>Vigas tipo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</dc:creator>
  <cp:lastModifiedBy>JOHN</cp:lastModifiedBy>
  <cp:lastPrinted>2009-03-23T14:03:44Z</cp:lastPrinted>
  <dcterms:created xsi:type="dcterms:W3CDTF">2009-03-08T17:04:27Z</dcterms:created>
  <dcterms:modified xsi:type="dcterms:W3CDTF">2011-04-27T14:04:41Z</dcterms:modified>
</cp:coreProperties>
</file>