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3435" windowWidth="11715" windowHeight="9120" activeTab="0"/>
  </bookViews>
  <sheets>
    <sheet name="Hoja1" sheetId="1" r:id="rId1"/>
  </sheets>
  <definedNames>
    <definedName name="_xlnm.Print_Area" localSheetId="0">'Hoja1'!$A$1:$J$345</definedName>
    <definedName name="_xlnm.Print_Titles" localSheetId="0">'Hoja1'!$1:$2</definedName>
  </definedNames>
  <calcPr fullCalcOnLoad="1"/>
</workbook>
</file>

<file path=xl/comments1.xml><?xml version="1.0" encoding="utf-8"?>
<comments xmlns="http://schemas.openxmlformats.org/spreadsheetml/2006/main">
  <authors>
    <author>Laura Landa Ruiz</author>
  </authors>
  <commentList>
    <comment ref="F42" authorId="0">
      <text>
        <r>
          <rPr>
            <b/>
            <sz val="8"/>
            <rFont val="Tahoma"/>
            <family val="0"/>
          </rPr>
          <t>Laura Landa Ruiz:</t>
        </r>
        <r>
          <rPr>
            <sz val="8"/>
            <rFont val="Tahoma"/>
            <family val="0"/>
          </rPr>
          <t xml:space="preserve">
SE AGREGÓ ESTE FACTOR.</t>
        </r>
      </text>
    </comment>
    <comment ref="F49" authorId="0">
      <text>
        <r>
          <rPr>
            <b/>
            <sz val="8"/>
            <rFont val="Tahoma"/>
            <family val="0"/>
          </rPr>
          <t>Laura Landa Ruiz:</t>
        </r>
        <r>
          <rPr>
            <sz val="8"/>
            <rFont val="Tahoma"/>
            <family val="0"/>
          </rPr>
          <t xml:space="preserve">
pb* factor (zona sismica o no)</t>
        </r>
      </text>
    </comment>
    <comment ref="C197" authorId="0">
      <text>
        <r>
          <rPr>
            <b/>
            <sz val="8"/>
            <rFont val="Tahoma"/>
            <family val="0"/>
          </rPr>
          <t>Laura Landa Ruiz:</t>
        </r>
        <r>
          <rPr>
            <sz val="8"/>
            <rFont val="Tahoma"/>
            <family val="0"/>
          </rPr>
          <t xml:space="preserve">
Dependiendo de p es la formula con la que calcula el Vcr.</t>
        </r>
      </text>
    </comment>
    <comment ref="I271" authorId="0">
      <text>
        <r>
          <rPr>
            <b/>
            <sz val="8"/>
            <rFont val="Tahoma"/>
            <family val="0"/>
          </rPr>
          <t>Laura Landa Ruiz:</t>
        </r>
        <r>
          <rPr>
            <sz val="8"/>
            <rFont val="Tahoma"/>
            <family val="0"/>
          </rPr>
          <t xml:space="preserve">
Se modifico por que tomaba siempre c1=c2 y no siempre son iguales</t>
        </r>
      </text>
    </comment>
    <comment ref="C251" authorId="0">
      <text>
        <r>
          <rPr>
            <b/>
            <sz val="8"/>
            <rFont val="Tahoma"/>
            <family val="0"/>
          </rPr>
          <t>Laura Landa Ruiz:</t>
        </r>
        <r>
          <rPr>
            <sz val="8"/>
            <rFont val="Tahoma"/>
            <family val="0"/>
          </rPr>
          <t xml:space="preserve">
Dependiendo de p es la formula con la que calcula el Vcr.</t>
        </r>
      </text>
    </comment>
    <comment ref="C323" authorId="0">
      <text>
        <r>
          <rPr>
            <b/>
            <sz val="8"/>
            <rFont val="Tahoma"/>
            <family val="0"/>
          </rPr>
          <t>Laura Landa Ruiz:</t>
        </r>
        <r>
          <rPr>
            <sz val="8"/>
            <rFont val="Tahoma"/>
            <family val="0"/>
          </rPr>
          <t xml:space="preserve">
se cambio FR de 0.8 a 0.7</t>
        </r>
      </text>
    </comment>
    <comment ref="B165" authorId="0">
      <text>
        <r>
          <rPr>
            <b/>
            <sz val="8"/>
            <rFont val="Tahoma"/>
            <family val="0"/>
          </rPr>
          <t>Laura Landa Ruiz:</t>
        </r>
        <r>
          <rPr>
            <sz val="8"/>
            <rFont val="Tahoma"/>
            <family val="0"/>
          </rPr>
          <t xml:space="preserve">
EL CORTANTE NO ESTABA CALCULADO A UN PERALTE</t>
        </r>
      </text>
    </comment>
    <comment ref="B219" authorId="0">
      <text>
        <r>
          <rPr>
            <b/>
            <sz val="8"/>
            <rFont val="Tahoma"/>
            <family val="0"/>
          </rPr>
          <t>Laura Landa Ruiz:</t>
        </r>
        <r>
          <rPr>
            <sz val="8"/>
            <rFont val="Tahoma"/>
            <family val="0"/>
          </rPr>
          <t xml:space="preserve">
El cortante no estaba calculado a un peralte</t>
        </r>
      </text>
    </comment>
    <comment ref="F47" authorId="0">
      <text>
        <r>
          <rPr>
            <b/>
            <sz val="8"/>
            <rFont val="Tahoma"/>
            <family val="0"/>
          </rPr>
          <t>Laura Landa Ruiz:</t>
        </r>
        <r>
          <rPr>
            <sz val="8"/>
            <rFont val="Tahoma"/>
            <family val="0"/>
          </rPr>
          <t xml:space="preserve">
SE MODIFICÓ ESTA FÓRMULA POR QUE O CONSIDERABA EL FACTOR B.</t>
        </r>
      </text>
    </comment>
    <comment ref="I273" authorId="0">
      <text>
        <r>
          <rPr>
            <b/>
            <sz val="8"/>
            <rFont val="Tahoma"/>
            <family val="0"/>
          </rPr>
          <t>Laura Landa Ruiz:</t>
        </r>
        <r>
          <rPr>
            <sz val="8"/>
            <rFont val="Tahoma"/>
            <family val="0"/>
          </rPr>
          <t xml:space="preserve">
toma en cuenta si las dimenciones no son suficientes para  desarrollar el area critica</t>
        </r>
      </text>
    </comment>
  </commentList>
</comments>
</file>

<file path=xl/sharedStrings.xml><?xml version="1.0" encoding="utf-8"?>
<sst xmlns="http://schemas.openxmlformats.org/spreadsheetml/2006/main" count="400" uniqueCount="205">
  <si>
    <t>D    A    T    O    S</t>
  </si>
  <si>
    <t>GEOMETRIA</t>
  </si>
  <si>
    <t xml:space="preserve"> </t>
  </si>
  <si>
    <t>A =</t>
  </si>
  <si>
    <t>B =</t>
  </si>
  <si>
    <t>b =</t>
  </si>
  <si>
    <t>h =</t>
  </si>
  <si>
    <t>CARGA</t>
  </si>
  <si>
    <t>P =</t>
  </si>
  <si>
    <t>Vx =</t>
  </si>
  <si>
    <t>Mx =</t>
  </si>
  <si>
    <t>Vy =</t>
  </si>
  <si>
    <t>My =</t>
  </si>
  <si>
    <t>ton.</t>
  </si>
  <si>
    <t>ton-m</t>
  </si>
  <si>
    <t>Df =</t>
  </si>
  <si>
    <t>cm.</t>
  </si>
  <si>
    <t>Constantes</t>
  </si>
  <si>
    <t>relleno =</t>
  </si>
  <si>
    <t>dado =</t>
  </si>
  <si>
    <t>zapata =</t>
  </si>
  <si>
    <t>A x B x h x 2.40 =</t>
  </si>
  <si>
    <t>=</t>
  </si>
  <si>
    <t>Peso de la estructura</t>
  </si>
  <si>
    <t>Revisión de la estabilidad</t>
  </si>
  <si>
    <t>Momentos de volteo</t>
  </si>
  <si>
    <t>Momentos de equilibrio</t>
  </si>
  <si>
    <t>Factor de seguridad al volteo</t>
  </si>
  <si>
    <t>Esfuerzos de contacto sobre el suelo.</t>
  </si>
  <si>
    <t>Propiedades de la zapata</t>
  </si>
  <si>
    <t>A x B</t>
  </si>
  <si>
    <t>Esfuerzo Maximo</t>
  </si>
  <si>
    <t>&lt;</t>
  </si>
  <si>
    <t>Si consideramos para diseño un ancho unitario de 1.0 mts.</t>
  </si>
  <si>
    <t xml:space="preserve">Peso de relleno </t>
  </si>
  <si>
    <t>Peso de zapata</t>
  </si>
  <si>
    <t>w = h x 2.40 x 1.0           =</t>
  </si>
  <si>
    <t>ton/m</t>
  </si>
  <si>
    <t>=======</t>
  </si>
  <si>
    <t>peso total      wt =</t>
  </si>
  <si>
    <t>Mp =</t>
  </si>
  <si>
    <t>Vp =</t>
  </si>
  <si>
    <t>ton</t>
  </si>
  <si>
    <t>Mpu =</t>
  </si>
  <si>
    <t>Vpu =</t>
  </si>
  <si>
    <t>Mpu = Mp x Fc</t>
  </si>
  <si>
    <t>Vpu = Vp x Fc</t>
  </si>
  <si>
    <t>Flexión</t>
  </si>
  <si>
    <t>si tenemos que:</t>
  </si>
  <si>
    <t>d =</t>
  </si>
  <si>
    <t>cm</t>
  </si>
  <si>
    <t>As =</t>
  </si>
  <si>
    <t>se propone usar varillas #</t>
  </si>
  <si>
    <t>Av =</t>
  </si>
  <si>
    <t>S =</t>
  </si>
  <si>
    <t>usar varillas del #</t>
  </si>
  <si>
    <t>@</t>
  </si>
  <si>
    <t>Cortante por tensión diagonal</t>
  </si>
  <si>
    <t>Vcr =</t>
  </si>
  <si>
    <t>kg</t>
  </si>
  <si>
    <t>ton  &gt;</t>
  </si>
  <si>
    <t>Cortante por penetración</t>
  </si>
  <si>
    <t>C1 =</t>
  </si>
  <si>
    <t>C2 =</t>
  </si>
  <si>
    <t>C1 + d =</t>
  </si>
  <si>
    <t>C2 + d =</t>
  </si>
  <si>
    <t>Elementos mecanicos en el espesor medio de la zapata.</t>
  </si>
  <si>
    <t>Superestructura =</t>
  </si>
  <si>
    <t>zapata ------------ =</t>
  </si>
  <si>
    <t>Relleno ----------- =</t>
  </si>
  <si>
    <t xml:space="preserve"> ....................................................................  =</t>
  </si>
  <si>
    <t>( C1 + d ) (C2 + d ) x h x 2.40 .......................... =</t>
  </si>
  <si>
    <t>En dirección X y Y</t>
  </si>
  <si>
    <t xml:space="preserve">Mx = Mx + Vy ( Df - 0.5h ) </t>
  </si>
  <si>
    <t xml:space="preserve">My = My + Vx ( Df - 0.5h ) </t>
  </si>
  <si>
    <t>Esfuerzo por penetración</t>
  </si>
  <si>
    <t>Ac =</t>
  </si>
  <si>
    <t>Jcx =</t>
  </si>
  <si>
    <t>Sustituyendo valores:</t>
  </si>
  <si>
    <t>v =</t>
  </si>
  <si>
    <t>Jcy =</t>
  </si>
  <si>
    <t>El esfuerzo último por penetración sera:</t>
  </si>
  <si>
    <t>Esfuerzo resistente del concreto</t>
  </si>
  <si>
    <t>&gt;</t>
  </si>
  <si>
    <t>Por lo tanto, el espesor de la zapata propuesto es correcto.</t>
  </si>
  <si>
    <t>m</t>
  </si>
  <si>
    <t>Peso cim.=</t>
  </si>
  <si>
    <t>h´=</t>
  </si>
  <si>
    <t>a x b x ( Df - h + h´) x 2.40 =</t>
  </si>
  <si>
    <t>x</t>
  </si>
  <si>
    <t xml:space="preserve">&gt; 1.5  </t>
  </si>
  <si>
    <r>
      <t xml:space="preserve">m      </t>
    </r>
    <r>
      <rPr>
        <b/>
        <sz val="10"/>
        <rFont val="Stylus BT"/>
        <family val="2"/>
      </rPr>
      <t>a</t>
    </r>
    <r>
      <rPr>
        <b/>
        <vertAlign val="subscript"/>
        <sz val="10"/>
        <rFont val="Stylus BT"/>
        <family val="2"/>
      </rPr>
      <t xml:space="preserve">1 </t>
    </r>
    <r>
      <rPr>
        <b/>
        <sz val="10"/>
        <rFont val="Stylus BT"/>
        <family val="2"/>
      </rPr>
      <t>=</t>
    </r>
  </si>
  <si>
    <r>
      <t xml:space="preserve">m      </t>
    </r>
    <r>
      <rPr>
        <b/>
        <sz val="10"/>
        <rFont val="Stylus BT"/>
        <family val="2"/>
      </rPr>
      <t>a</t>
    </r>
    <r>
      <rPr>
        <b/>
        <vertAlign val="subscript"/>
        <sz val="10"/>
        <rFont val="Stylus BT"/>
        <family val="2"/>
      </rPr>
      <t xml:space="preserve">2 </t>
    </r>
    <r>
      <rPr>
        <b/>
        <sz val="10"/>
        <rFont val="Stylus BT"/>
        <family val="2"/>
      </rPr>
      <t>=</t>
    </r>
  </si>
  <si>
    <r>
      <t xml:space="preserve">m      </t>
    </r>
    <r>
      <rPr>
        <b/>
        <sz val="10"/>
        <rFont val="Stylus BT"/>
        <family val="2"/>
      </rPr>
      <t>b</t>
    </r>
    <r>
      <rPr>
        <b/>
        <vertAlign val="subscript"/>
        <sz val="10"/>
        <rFont val="Stylus BT"/>
        <family val="2"/>
      </rPr>
      <t xml:space="preserve">1 </t>
    </r>
    <r>
      <rPr>
        <b/>
        <sz val="10"/>
        <rFont val="Stylus BT"/>
        <family val="2"/>
      </rPr>
      <t>=</t>
    </r>
  </si>
  <si>
    <r>
      <t xml:space="preserve">m      </t>
    </r>
    <r>
      <rPr>
        <b/>
        <sz val="10"/>
        <rFont val="Stylus BT"/>
        <family val="2"/>
      </rPr>
      <t>b</t>
    </r>
    <r>
      <rPr>
        <b/>
        <vertAlign val="subscript"/>
        <sz val="10"/>
        <rFont val="Stylus BT"/>
        <family val="2"/>
      </rPr>
      <t xml:space="preserve">2 </t>
    </r>
    <r>
      <rPr>
        <b/>
        <sz val="10"/>
        <rFont val="Stylus BT"/>
        <family val="2"/>
      </rPr>
      <t>=</t>
    </r>
  </si>
  <si>
    <r>
      <t xml:space="preserve">recubrimiento </t>
    </r>
    <r>
      <rPr>
        <b/>
        <sz val="10"/>
        <rFont val="Stylus BT"/>
        <family val="2"/>
      </rPr>
      <t>r</t>
    </r>
    <r>
      <rPr>
        <sz val="10"/>
        <rFont val="Stylus BT"/>
        <family val="2"/>
      </rPr>
      <t xml:space="preserve"> =</t>
    </r>
  </si>
  <si>
    <r>
      <t xml:space="preserve">fac. de carga </t>
    </r>
    <r>
      <rPr>
        <b/>
        <sz val="10"/>
        <rFont val="Stylus BT"/>
        <family val="2"/>
      </rPr>
      <t>Fc</t>
    </r>
    <r>
      <rPr>
        <sz val="10"/>
        <rFont val="Stylus BT"/>
        <family val="2"/>
      </rPr>
      <t xml:space="preserve"> =</t>
    </r>
  </si>
  <si>
    <r>
      <t xml:space="preserve">cap.de carga </t>
    </r>
    <r>
      <rPr>
        <b/>
        <sz val="10"/>
        <rFont val="Stylus BT"/>
        <family val="2"/>
      </rPr>
      <t>qa</t>
    </r>
    <r>
      <rPr>
        <sz val="10"/>
        <rFont val="Stylus BT"/>
        <family val="2"/>
      </rPr>
      <t xml:space="preserve"> =</t>
    </r>
  </si>
  <si>
    <r>
      <t>ton/m</t>
    </r>
    <r>
      <rPr>
        <vertAlign val="superscript"/>
        <sz val="10"/>
        <rFont val="Stylus BT"/>
        <family val="2"/>
      </rPr>
      <t>2</t>
    </r>
  </si>
  <si>
    <r>
      <t xml:space="preserve">acero de ref. </t>
    </r>
    <r>
      <rPr>
        <b/>
        <sz val="10"/>
        <rFont val="Stylus BT"/>
        <family val="2"/>
      </rPr>
      <t>fy</t>
    </r>
    <r>
      <rPr>
        <sz val="10"/>
        <rFont val="Stylus BT"/>
        <family val="2"/>
      </rPr>
      <t xml:space="preserve"> =</t>
    </r>
  </si>
  <si>
    <r>
      <t>kg/cm</t>
    </r>
    <r>
      <rPr>
        <vertAlign val="superscript"/>
        <sz val="10"/>
        <rFont val="Stylus BT"/>
        <family val="2"/>
      </rPr>
      <t>2</t>
    </r>
  </si>
  <si>
    <r>
      <t>ton/m</t>
    </r>
    <r>
      <rPr>
        <vertAlign val="superscript"/>
        <sz val="10"/>
        <rFont val="Stylus BT"/>
        <family val="2"/>
      </rPr>
      <t>3</t>
    </r>
  </si>
  <si>
    <r>
      <t xml:space="preserve">concreto </t>
    </r>
    <r>
      <rPr>
        <b/>
        <sz val="10"/>
        <rFont val="Stylus BT"/>
        <family val="2"/>
      </rPr>
      <t>f'c</t>
    </r>
    <r>
      <rPr>
        <sz val="10"/>
        <rFont val="Stylus BT"/>
        <family val="2"/>
      </rPr>
      <t xml:space="preserve"> =</t>
    </r>
  </si>
  <si>
    <r>
      <t>f*c</t>
    </r>
    <r>
      <rPr>
        <sz val="10"/>
        <rFont val="Stylus BT"/>
        <family val="2"/>
      </rPr>
      <t xml:space="preserve"> = 0.8 f'c</t>
    </r>
  </si>
  <si>
    <r>
      <t>f*c</t>
    </r>
    <r>
      <rPr>
        <sz val="10"/>
        <rFont val="Stylus BT"/>
        <family val="2"/>
      </rPr>
      <t xml:space="preserve"> =</t>
    </r>
  </si>
  <si>
    <r>
      <t>f''c</t>
    </r>
    <r>
      <rPr>
        <sz val="10"/>
        <rFont val="Stylus BT"/>
        <family val="2"/>
      </rPr>
      <t xml:space="preserve"> = 0.85 f*c</t>
    </r>
  </si>
  <si>
    <r>
      <t>f''c</t>
    </r>
    <r>
      <rPr>
        <sz val="10"/>
        <rFont val="Stylus BT"/>
        <family val="2"/>
      </rPr>
      <t xml:space="preserve"> =</t>
    </r>
  </si>
  <si>
    <r>
      <t>r</t>
    </r>
    <r>
      <rPr>
        <vertAlign val="subscript"/>
        <sz val="10"/>
        <rFont val="Stylus BT"/>
        <family val="2"/>
      </rPr>
      <t>min</t>
    </r>
    <r>
      <rPr>
        <sz val="10"/>
        <rFont val="Stylus BT"/>
        <family val="2"/>
      </rPr>
      <t xml:space="preserve"> =</t>
    </r>
  </si>
  <si>
    <r>
      <t>r</t>
    </r>
    <r>
      <rPr>
        <vertAlign val="subscript"/>
        <sz val="10"/>
        <rFont val="Stylus BT"/>
        <family val="2"/>
      </rPr>
      <t>max</t>
    </r>
    <r>
      <rPr>
        <sz val="10"/>
        <rFont val="Stylus BT"/>
        <family val="2"/>
      </rPr>
      <t xml:space="preserve"> =</t>
    </r>
  </si>
  <si>
    <r>
      <t>P</t>
    </r>
    <r>
      <rPr>
        <b/>
        <vertAlign val="subscript"/>
        <sz val="10"/>
        <rFont val="Stylus BT"/>
        <family val="2"/>
      </rPr>
      <t>T</t>
    </r>
    <r>
      <rPr>
        <sz val="10"/>
        <rFont val="Stylus BT"/>
        <family val="2"/>
      </rPr>
      <t xml:space="preserve"> =</t>
    </r>
  </si>
  <si>
    <r>
      <t>M</t>
    </r>
    <r>
      <rPr>
        <b/>
        <vertAlign val="subscript"/>
        <sz val="10"/>
        <rFont val="Stylus BT"/>
        <family val="2"/>
      </rPr>
      <t>RY</t>
    </r>
    <r>
      <rPr>
        <sz val="10"/>
        <rFont val="Stylus BT"/>
        <family val="2"/>
      </rPr>
      <t xml:space="preserve"> =</t>
    </r>
  </si>
  <si>
    <r>
      <t>M</t>
    </r>
    <r>
      <rPr>
        <b/>
        <vertAlign val="subscript"/>
        <sz val="10"/>
        <rFont val="Stylus BT"/>
        <family val="2"/>
      </rPr>
      <t>RX</t>
    </r>
    <r>
      <rPr>
        <sz val="10"/>
        <rFont val="Stylus BT"/>
        <family val="2"/>
      </rPr>
      <t xml:space="preserve"> =</t>
    </r>
  </si>
  <si>
    <r>
      <t>M</t>
    </r>
    <r>
      <rPr>
        <b/>
        <vertAlign val="subscript"/>
        <sz val="10"/>
        <rFont val="Stylus BT"/>
        <family val="2"/>
      </rPr>
      <t>VX</t>
    </r>
    <r>
      <rPr>
        <b/>
        <sz val="10"/>
        <rFont val="Stylus BT"/>
        <family val="2"/>
      </rPr>
      <t xml:space="preserve"> =</t>
    </r>
    <r>
      <rPr>
        <sz val="10"/>
        <rFont val="Stylus BT"/>
        <family val="2"/>
      </rPr>
      <t xml:space="preserve"> M</t>
    </r>
    <r>
      <rPr>
        <vertAlign val="subscript"/>
        <sz val="10"/>
        <rFont val="Stylus BT"/>
        <family val="2"/>
      </rPr>
      <t>Y</t>
    </r>
    <r>
      <rPr>
        <sz val="10"/>
        <rFont val="Stylus BT"/>
        <family val="2"/>
      </rPr>
      <t>+ V</t>
    </r>
    <r>
      <rPr>
        <vertAlign val="subscript"/>
        <sz val="10"/>
        <rFont val="Stylus BT"/>
        <family val="2"/>
      </rPr>
      <t>X</t>
    </r>
    <r>
      <rPr>
        <sz val="10"/>
        <rFont val="Stylus BT"/>
        <family val="2"/>
      </rPr>
      <t>(Df+h´)</t>
    </r>
  </si>
  <si>
    <r>
      <t>M</t>
    </r>
    <r>
      <rPr>
        <b/>
        <vertAlign val="subscript"/>
        <sz val="10"/>
        <rFont val="Stylus BT"/>
        <family val="2"/>
      </rPr>
      <t>VX</t>
    </r>
    <r>
      <rPr>
        <b/>
        <sz val="10"/>
        <rFont val="Stylus BT"/>
        <family val="2"/>
      </rPr>
      <t xml:space="preserve"> </t>
    </r>
    <r>
      <rPr>
        <sz val="10"/>
        <rFont val="Stylus BT"/>
        <family val="2"/>
      </rPr>
      <t>=</t>
    </r>
  </si>
  <si>
    <r>
      <t>M</t>
    </r>
    <r>
      <rPr>
        <b/>
        <vertAlign val="subscript"/>
        <sz val="10"/>
        <rFont val="Stylus BT"/>
        <family val="2"/>
      </rPr>
      <t>VY</t>
    </r>
    <r>
      <rPr>
        <b/>
        <sz val="10"/>
        <rFont val="Stylus BT"/>
        <family val="2"/>
      </rPr>
      <t xml:space="preserve"> =</t>
    </r>
    <r>
      <rPr>
        <sz val="10"/>
        <rFont val="Stylus BT"/>
        <family val="2"/>
      </rPr>
      <t xml:space="preserve"> M</t>
    </r>
    <r>
      <rPr>
        <vertAlign val="subscript"/>
        <sz val="10"/>
        <rFont val="Stylus BT"/>
        <family val="2"/>
      </rPr>
      <t>X</t>
    </r>
    <r>
      <rPr>
        <sz val="10"/>
        <rFont val="Stylus BT"/>
        <family val="2"/>
      </rPr>
      <t>+ V</t>
    </r>
    <r>
      <rPr>
        <vertAlign val="subscript"/>
        <sz val="10"/>
        <rFont val="Stylus BT"/>
        <family val="2"/>
      </rPr>
      <t>Y</t>
    </r>
    <r>
      <rPr>
        <sz val="10"/>
        <rFont val="Stylus BT"/>
        <family val="2"/>
      </rPr>
      <t>(Df+h´)</t>
    </r>
  </si>
  <si>
    <r>
      <t>M</t>
    </r>
    <r>
      <rPr>
        <b/>
        <vertAlign val="subscript"/>
        <sz val="10"/>
        <rFont val="Stylus BT"/>
        <family val="2"/>
      </rPr>
      <t>VY</t>
    </r>
    <r>
      <rPr>
        <b/>
        <sz val="10"/>
        <rFont val="Stylus BT"/>
        <family val="2"/>
      </rPr>
      <t xml:space="preserve"> </t>
    </r>
    <r>
      <rPr>
        <sz val="10"/>
        <rFont val="Stylus BT"/>
        <family val="2"/>
      </rPr>
      <t>=</t>
    </r>
  </si>
  <si>
    <r>
      <t>Mex</t>
    </r>
    <r>
      <rPr>
        <sz val="10"/>
        <rFont val="Stylus BT"/>
        <family val="2"/>
      </rPr>
      <t xml:space="preserve">   =    </t>
    </r>
    <r>
      <rPr>
        <b/>
        <sz val="10"/>
        <rFont val="Stylus BT"/>
        <family val="2"/>
      </rPr>
      <t>M</t>
    </r>
    <r>
      <rPr>
        <b/>
        <vertAlign val="subscript"/>
        <sz val="10"/>
        <rFont val="Stylus BT"/>
        <family val="2"/>
      </rPr>
      <t>RY</t>
    </r>
  </si>
  <si>
    <r>
      <t>Mex</t>
    </r>
    <r>
      <rPr>
        <sz val="10"/>
        <rFont val="Stylus BT"/>
        <family val="2"/>
      </rPr>
      <t xml:space="preserve"> =</t>
    </r>
  </si>
  <si>
    <r>
      <t>Mey</t>
    </r>
    <r>
      <rPr>
        <sz val="10"/>
        <rFont val="Stylus BT"/>
        <family val="2"/>
      </rPr>
      <t xml:space="preserve">   =    </t>
    </r>
    <r>
      <rPr>
        <b/>
        <sz val="10"/>
        <rFont val="Stylus BT"/>
        <family val="2"/>
      </rPr>
      <t>M</t>
    </r>
    <r>
      <rPr>
        <b/>
        <vertAlign val="subscript"/>
        <sz val="10"/>
        <rFont val="Stylus BT"/>
        <family val="2"/>
      </rPr>
      <t>RX</t>
    </r>
  </si>
  <si>
    <r>
      <t>Mey</t>
    </r>
    <r>
      <rPr>
        <sz val="10"/>
        <rFont val="Stylus BT"/>
        <family val="2"/>
      </rPr>
      <t xml:space="preserve"> =</t>
    </r>
  </si>
  <si>
    <r>
      <t>FSvx</t>
    </r>
    <r>
      <rPr>
        <sz val="10"/>
        <rFont val="Stylus BT"/>
        <family val="2"/>
      </rPr>
      <t xml:space="preserve"> = Mex / Mvx</t>
    </r>
  </si>
  <si>
    <r>
      <t>FSvx</t>
    </r>
    <r>
      <rPr>
        <sz val="10"/>
        <rFont val="Stylus BT"/>
        <family val="2"/>
      </rPr>
      <t xml:space="preserve"> =</t>
    </r>
  </si>
  <si>
    <r>
      <t>FSvy</t>
    </r>
    <r>
      <rPr>
        <sz val="10"/>
        <rFont val="Stylus BT"/>
        <family val="2"/>
      </rPr>
      <t xml:space="preserve"> = Mey / Mvy</t>
    </r>
  </si>
  <si>
    <r>
      <t>FSvy</t>
    </r>
    <r>
      <rPr>
        <sz val="10"/>
        <rFont val="Stylus BT"/>
        <family val="2"/>
      </rPr>
      <t xml:space="preserve"> =</t>
    </r>
  </si>
  <si>
    <r>
      <t>A</t>
    </r>
    <r>
      <rPr>
        <vertAlign val="subscript"/>
        <sz val="10"/>
        <rFont val="Stylus BT"/>
        <family val="2"/>
      </rPr>
      <t>R</t>
    </r>
    <r>
      <rPr>
        <sz val="10"/>
        <rFont val="Stylus BT"/>
        <family val="2"/>
      </rPr>
      <t xml:space="preserve"> = </t>
    </r>
  </si>
  <si>
    <r>
      <t>m</t>
    </r>
    <r>
      <rPr>
        <vertAlign val="superscript"/>
        <sz val="10"/>
        <rFont val="Stylus BT"/>
        <family val="2"/>
      </rPr>
      <t>2</t>
    </r>
  </si>
  <si>
    <t xml:space="preserve"> =</t>
  </si>
  <si>
    <r>
      <t>m</t>
    </r>
    <r>
      <rPr>
        <vertAlign val="superscript"/>
        <sz val="10"/>
        <rFont val="Stylus BT"/>
        <family val="2"/>
      </rPr>
      <t>4</t>
    </r>
  </si>
  <si>
    <r>
      <t>m</t>
    </r>
    <r>
      <rPr>
        <vertAlign val="superscript"/>
        <sz val="10"/>
        <rFont val="Stylus BT"/>
        <family val="2"/>
      </rPr>
      <t>3</t>
    </r>
  </si>
  <si>
    <r>
      <t>F</t>
    </r>
    <r>
      <rPr>
        <vertAlign val="subscript"/>
        <sz val="10"/>
        <rFont val="Stylus BT"/>
        <family val="2"/>
      </rPr>
      <t>R</t>
    </r>
    <r>
      <rPr>
        <sz val="10"/>
        <rFont val="Stylus BT"/>
        <family val="2"/>
      </rPr>
      <t xml:space="preserve"> = 0.9 para flexión</t>
    </r>
  </si>
  <si>
    <t>As = rbd</t>
  </si>
  <si>
    <r>
      <t>cm</t>
    </r>
    <r>
      <rPr>
        <vertAlign val="superscript"/>
        <sz val="10"/>
        <rFont val="Stylus BT"/>
        <family val="2"/>
      </rPr>
      <t>2</t>
    </r>
    <r>
      <rPr>
        <sz val="10"/>
        <rFont val="Stylus BT"/>
        <family val="2"/>
      </rPr>
      <t>/m</t>
    </r>
  </si>
  <si>
    <r>
      <t>cm</t>
    </r>
    <r>
      <rPr>
        <vertAlign val="superscript"/>
        <sz val="10"/>
        <rFont val="Stylus BT"/>
        <family val="2"/>
      </rPr>
      <t>2</t>
    </r>
  </si>
  <si>
    <r>
      <t xml:space="preserve">ton     </t>
    </r>
    <r>
      <rPr>
        <b/>
        <sz val="10"/>
        <rFont val="Stylus BT"/>
        <family val="2"/>
      </rPr>
      <t>&gt;</t>
    </r>
  </si>
  <si>
    <r>
      <t>a</t>
    </r>
    <r>
      <rPr>
        <vertAlign val="subscript"/>
        <sz val="10"/>
        <rFont val="Stylus BT"/>
        <family val="2"/>
      </rPr>
      <t>x</t>
    </r>
    <r>
      <rPr>
        <sz val="10"/>
        <rFont val="Stylus BT"/>
        <family val="2"/>
      </rPr>
      <t xml:space="preserve"> =</t>
    </r>
  </si>
  <si>
    <r>
      <t>cm</t>
    </r>
    <r>
      <rPr>
        <vertAlign val="superscript"/>
        <sz val="10"/>
        <rFont val="Stylus BT"/>
        <family val="2"/>
      </rPr>
      <t>4</t>
    </r>
  </si>
  <si>
    <r>
      <t>v</t>
    </r>
    <r>
      <rPr>
        <vertAlign val="subscript"/>
        <sz val="10"/>
        <rFont val="Stylus BT"/>
        <family val="2"/>
      </rPr>
      <t>u</t>
    </r>
    <r>
      <rPr>
        <sz val="10"/>
        <rFont val="Stylus BT"/>
        <family val="2"/>
      </rPr>
      <t xml:space="preserve"> = v x FC</t>
    </r>
  </si>
  <si>
    <r>
      <t>v</t>
    </r>
    <r>
      <rPr>
        <vertAlign val="subscript"/>
        <sz val="10"/>
        <rFont val="Stylus BT"/>
        <family val="2"/>
      </rPr>
      <t>u</t>
    </r>
    <r>
      <rPr>
        <sz val="10"/>
        <rFont val="Stylus BT"/>
        <family val="2"/>
      </rPr>
      <t xml:space="preserve"> =</t>
    </r>
  </si>
  <si>
    <r>
      <t>v</t>
    </r>
    <r>
      <rPr>
        <vertAlign val="subscript"/>
        <sz val="10"/>
        <rFont val="Stylus BT"/>
        <family val="2"/>
      </rPr>
      <t>CR</t>
    </r>
    <r>
      <rPr>
        <sz val="10"/>
        <rFont val="Stylus BT"/>
        <family val="2"/>
      </rPr>
      <t xml:space="preserve"> =</t>
    </r>
  </si>
  <si>
    <r>
      <t>r</t>
    </r>
    <r>
      <rPr>
        <sz val="10"/>
        <rFont val="Stylus BT"/>
        <family val="2"/>
      </rPr>
      <t xml:space="preserve"> =</t>
    </r>
  </si>
  <si>
    <r>
      <t>r</t>
    </r>
    <r>
      <rPr>
        <sz val="10"/>
        <rFont val="Stylus BT"/>
        <family val="2"/>
      </rPr>
      <t xml:space="preserve">  =</t>
    </r>
  </si>
  <si>
    <r>
      <t xml:space="preserve">r </t>
    </r>
    <r>
      <rPr>
        <sz val="10"/>
        <rFont val="Stylus BT"/>
        <family val="2"/>
      </rPr>
      <t xml:space="preserve"> =</t>
    </r>
  </si>
  <si>
    <r>
      <t xml:space="preserve">Relleno </t>
    </r>
    <r>
      <rPr>
        <b/>
        <sz val="10"/>
        <rFont val="Symbol"/>
        <family val="1"/>
      </rPr>
      <t>g</t>
    </r>
    <r>
      <rPr>
        <b/>
        <sz val="10"/>
        <rFont val="Stylus BT"/>
        <family val="2"/>
      </rPr>
      <t>s</t>
    </r>
    <r>
      <rPr>
        <sz val="10"/>
        <rFont val="Stylus BT"/>
        <family val="2"/>
      </rPr>
      <t xml:space="preserve"> =</t>
    </r>
  </si>
  <si>
    <r>
      <t>ton/m</t>
    </r>
    <r>
      <rPr>
        <b/>
        <vertAlign val="superscript"/>
        <sz val="10"/>
        <rFont val="Stylus BT"/>
        <family val="2"/>
      </rPr>
      <t>2</t>
    </r>
  </si>
  <si>
    <r>
      <t>b</t>
    </r>
    <r>
      <rPr>
        <b/>
        <sz val="10"/>
        <rFont val="Stylus BT"/>
        <family val="2"/>
      </rPr>
      <t>1 =</t>
    </r>
  </si>
  <si>
    <t>ó</t>
  </si>
  <si>
    <r>
      <t xml:space="preserve">r </t>
    </r>
    <r>
      <rPr>
        <sz val="10"/>
        <rFont val="Stylus BT"/>
        <family val="2"/>
      </rPr>
      <t>=</t>
    </r>
  </si>
  <si>
    <r>
      <t xml:space="preserve">[( A x B ) - ( a x b ) ] x ( Df - h ) x </t>
    </r>
    <r>
      <rPr>
        <sz val="10"/>
        <rFont val="Symbol"/>
        <family val="1"/>
      </rPr>
      <t>g</t>
    </r>
    <r>
      <rPr>
        <sz val="10"/>
        <rFont val="Stylus BT"/>
        <family val="2"/>
      </rPr>
      <t>s =</t>
    </r>
  </si>
  <si>
    <r>
      <t>w = ( Df - h ) x</t>
    </r>
    <r>
      <rPr>
        <sz val="10"/>
        <rFont val="Symbol"/>
        <family val="1"/>
      </rPr>
      <t xml:space="preserve"> g</t>
    </r>
    <r>
      <rPr>
        <sz val="10"/>
        <rFont val="Stylus BT"/>
        <family val="2"/>
      </rPr>
      <t>s x 1.0    =</t>
    </r>
  </si>
  <si>
    <r>
      <t xml:space="preserve">[ ( C1+ d ) ( C2+d ) - (C1 x C2 ) ] x (Df - h) x </t>
    </r>
    <r>
      <rPr>
        <sz val="10"/>
        <rFont val="Symbol"/>
        <family val="1"/>
      </rPr>
      <t>g</t>
    </r>
    <r>
      <rPr>
        <sz val="10"/>
        <rFont val="Stylus BT"/>
        <family val="2"/>
      </rPr>
      <t>s   =</t>
    </r>
  </si>
  <si>
    <r>
      <t>r</t>
    </r>
    <r>
      <rPr>
        <vertAlign val="subscript"/>
        <sz val="10"/>
        <rFont val="Stylus BT"/>
        <family val="2"/>
      </rPr>
      <t>max</t>
    </r>
    <r>
      <rPr>
        <sz val="10"/>
        <rFont val="Symbol"/>
        <family val="1"/>
      </rPr>
      <t xml:space="preserve"> &gt; r  ³  r</t>
    </r>
    <r>
      <rPr>
        <vertAlign val="subscript"/>
        <sz val="10"/>
        <rFont val="Stylus BT"/>
        <family val="2"/>
      </rPr>
      <t xml:space="preserve">min </t>
    </r>
    <r>
      <rPr>
        <sz val="10"/>
        <rFont val="Stylus BT"/>
        <family val="2"/>
      </rPr>
      <t>entonces</t>
    </r>
  </si>
  <si>
    <t>zona sismica =</t>
  </si>
  <si>
    <r>
      <t>a</t>
    </r>
    <r>
      <rPr>
        <sz val="10"/>
        <rFont val="Stylus BT"/>
        <family val="2"/>
      </rPr>
      <t>y =</t>
    </r>
  </si>
  <si>
    <r>
      <t>v</t>
    </r>
    <r>
      <rPr>
        <b/>
        <vertAlign val="subscript"/>
        <sz val="10"/>
        <rFont val="Stylus BT"/>
        <family val="2"/>
      </rPr>
      <t>CR</t>
    </r>
    <r>
      <rPr>
        <b/>
        <sz val="10"/>
        <rFont val="Stylus BT"/>
        <family val="2"/>
      </rPr>
      <t xml:space="preserve"> =</t>
    </r>
  </si>
  <si>
    <r>
      <t>kg/cm</t>
    </r>
    <r>
      <rPr>
        <b/>
        <vertAlign val="superscript"/>
        <sz val="10"/>
        <rFont val="Stylus BT"/>
        <family val="2"/>
      </rPr>
      <t>2</t>
    </r>
  </si>
  <si>
    <r>
      <t>v</t>
    </r>
    <r>
      <rPr>
        <b/>
        <vertAlign val="subscript"/>
        <sz val="10"/>
        <rFont val="Stylus BT"/>
        <family val="2"/>
      </rPr>
      <t>u</t>
    </r>
    <r>
      <rPr>
        <b/>
        <sz val="10"/>
        <rFont val="Stylus BT"/>
        <family val="2"/>
      </rPr>
      <t xml:space="preserve"> =</t>
    </r>
  </si>
  <si>
    <r>
      <t xml:space="preserve">m      </t>
    </r>
    <r>
      <rPr>
        <b/>
        <sz val="10"/>
        <rFont val="Stylus BT"/>
        <family val="2"/>
      </rPr>
      <t>b</t>
    </r>
    <r>
      <rPr>
        <b/>
        <vertAlign val="subscript"/>
        <sz val="10"/>
        <rFont val="Stylus BT"/>
        <family val="2"/>
      </rPr>
      <t xml:space="preserve">3 </t>
    </r>
    <r>
      <rPr>
        <b/>
        <sz val="10"/>
        <rFont val="Stylus BT"/>
        <family val="2"/>
      </rPr>
      <t>=</t>
    </r>
  </si>
  <si>
    <r>
      <t xml:space="preserve">m  </t>
    </r>
    <r>
      <rPr>
        <b/>
        <sz val="10"/>
        <rFont val="Stylus BT"/>
        <family val="0"/>
      </rPr>
      <t xml:space="preserve">    a</t>
    </r>
    <r>
      <rPr>
        <b/>
        <vertAlign val="subscript"/>
        <sz val="10"/>
        <rFont val="Stylus BT"/>
        <family val="0"/>
      </rPr>
      <t xml:space="preserve">3 </t>
    </r>
    <r>
      <rPr>
        <b/>
        <sz val="10"/>
        <rFont val="Stylus BT"/>
        <family val="0"/>
      </rPr>
      <t>=</t>
    </r>
  </si>
  <si>
    <t>si</t>
  </si>
  <si>
    <t>=========</t>
  </si>
  <si>
    <r>
      <t xml:space="preserve">q </t>
    </r>
    <r>
      <rPr>
        <b/>
        <vertAlign val="subscript"/>
        <sz val="10"/>
        <rFont val="Stylus BT"/>
        <family val="2"/>
      </rPr>
      <t xml:space="preserve">d </t>
    </r>
    <r>
      <rPr>
        <b/>
        <sz val="10"/>
        <rFont val="Stylus BT"/>
        <family val="2"/>
      </rPr>
      <t>=</t>
    </r>
  </si>
  <si>
    <r>
      <t xml:space="preserve">q </t>
    </r>
    <r>
      <rPr>
        <b/>
        <vertAlign val="subscript"/>
        <sz val="10"/>
        <rFont val="Stylus BT"/>
        <family val="2"/>
      </rPr>
      <t xml:space="preserve">a </t>
    </r>
    <r>
      <rPr>
        <b/>
        <sz val="10"/>
        <rFont val="Stylus BT"/>
        <family val="2"/>
      </rPr>
      <t>=</t>
    </r>
  </si>
  <si>
    <r>
      <t xml:space="preserve">q </t>
    </r>
    <r>
      <rPr>
        <b/>
        <vertAlign val="subscript"/>
        <sz val="10"/>
        <rFont val="Stylus BT"/>
        <family val="2"/>
      </rPr>
      <t xml:space="preserve">b </t>
    </r>
    <r>
      <rPr>
        <b/>
        <sz val="10"/>
        <rFont val="Stylus BT"/>
        <family val="2"/>
      </rPr>
      <t>=</t>
    </r>
  </si>
  <si>
    <r>
      <t xml:space="preserve">q </t>
    </r>
    <r>
      <rPr>
        <b/>
        <vertAlign val="subscript"/>
        <sz val="10"/>
        <rFont val="Stylus BT"/>
        <family val="2"/>
      </rPr>
      <t xml:space="preserve">c </t>
    </r>
    <r>
      <rPr>
        <b/>
        <sz val="10"/>
        <rFont val="Stylus BT"/>
        <family val="2"/>
      </rPr>
      <t>=</t>
    </r>
  </si>
  <si>
    <r>
      <t xml:space="preserve">q </t>
    </r>
    <r>
      <rPr>
        <b/>
        <vertAlign val="subscript"/>
        <sz val="10"/>
        <rFont val="Stylus BT"/>
        <family val="2"/>
      </rPr>
      <t>máx.</t>
    </r>
    <r>
      <rPr>
        <b/>
        <sz val="10"/>
        <rFont val="Stylus BT"/>
        <family val="2"/>
      </rPr>
      <t>=</t>
    </r>
  </si>
  <si>
    <r>
      <t xml:space="preserve">q </t>
    </r>
    <r>
      <rPr>
        <b/>
        <vertAlign val="subscript"/>
        <sz val="10"/>
        <rFont val="Stylus BT"/>
        <family val="2"/>
      </rPr>
      <t>min.</t>
    </r>
    <r>
      <rPr>
        <b/>
        <sz val="10"/>
        <rFont val="Stylus BT"/>
        <family val="2"/>
      </rPr>
      <t>=</t>
    </r>
  </si>
  <si>
    <t>Interpolando el esfuerzo al paño de la columna en el plano a-b</t>
  </si>
  <si>
    <t>Interpolando el esfuerzo al paño de la columna en el plano c-d</t>
  </si>
  <si>
    <t>Momentos en dirección X</t>
  </si>
  <si>
    <t>Momentos en dirección Y</t>
  </si>
  <si>
    <r>
      <t>r</t>
    </r>
    <r>
      <rPr>
        <vertAlign val="subscript"/>
        <sz val="10"/>
        <rFont val="Stylus BT"/>
        <family val="2"/>
      </rPr>
      <t>b</t>
    </r>
    <r>
      <rPr>
        <sz val="10"/>
        <rFont val="Stylus BT"/>
        <family val="2"/>
      </rPr>
      <t xml:space="preserve"> =</t>
    </r>
  </si>
  <si>
    <t>Momento total alrededor de X</t>
  </si>
  <si>
    <t>Momento total alrededor de Y</t>
  </si>
  <si>
    <t>Los esfuerzos serán los siguientes:</t>
  </si>
  <si>
    <r>
      <t>q</t>
    </r>
    <r>
      <rPr>
        <vertAlign val="subscript"/>
        <sz val="10"/>
        <rFont val="Stylus BT"/>
        <family val="0"/>
      </rPr>
      <t>1(c-d)</t>
    </r>
    <r>
      <rPr>
        <sz val="10"/>
        <rFont val="Stylus BT"/>
        <family val="2"/>
      </rPr>
      <t xml:space="preserve"> =</t>
    </r>
  </si>
  <si>
    <r>
      <t>q</t>
    </r>
    <r>
      <rPr>
        <vertAlign val="subscript"/>
        <sz val="10"/>
        <rFont val="Stylus BT"/>
        <family val="0"/>
      </rPr>
      <t>2 (c-d</t>
    </r>
    <r>
      <rPr>
        <sz val="10"/>
        <rFont val="Stylus BT"/>
        <family val="2"/>
      </rPr>
      <t>) =</t>
    </r>
  </si>
  <si>
    <r>
      <t>q</t>
    </r>
    <r>
      <rPr>
        <vertAlign val="subscript"/>
        <sz val="10"/>
        <rFont val="Stylus BT"/>
        <family val="0"/>
      </rPr>
      <t>3 (c-d)</t>
    </r>
    <r>
      <rPr>
        <sz val="10"/>
        <rFont val="Stylus BT"/>
        <family val="2"/>
      </rPr>
      <t xml:space="preserve"> =</t>
    </r>
  </si>
  <si>
    <r>
      <t>q</t>
    </r>
    <r>
      <rPr>
        <vertAlign val="subscript"/>
        <sz val="10"/>
        <rFont val="Stylus BT"/>
        <family val="0"/>
      </rPr>
      <t>4 (c-d)</t>
    </r>
    <r>
      <rPr>
        <sz val="10"/>
        <rFont val="Stylus BT"/>
        <family val="2"/>
      </rPr>
      <t xml:space="preserve"> =</t>
    </r>
  </si>
  <si>
    <t>Momentos en los paños (puntos 2 y 3)</t>
  </si>
  <si>
    <r>
      <t>q</t>
    </r>
    <r>
      <rPr>
        <b/>
        <vertAlign val="subscript"/>
        <sz val="10"/>
        <rFont val="Stylus BT"/>
        <family val="0"/>
      </rPr>
      <t>1(a-b)</t>
    </r>
    <r>
      <rPr>
        <b/>
        <sz val="10"/>
        <rFont val="Stylus BT"/>
        <family val="0"/>
      </rPr>
      <t xml:space="preserve"> =</t>
    </r>
  </si>
  <si>
    <r>
      <t>ton/m</t>
    </r>
    <r>
      <rPr>
        <b/>
        <vertAlign val="superscript"/>
        <sz val="10"/>
        <rFont val="Stylus BT"/>
        <family val="0"/>
      </rPr>
      <t>2</t>
    </r>
  </si>
  <si>
    <r>
      <t>q</t>
    </r>
    <r>
      <rPr>
        <b/>
        <vertAlign val="subscript"/>
        <sz val="10"/>
        <rFont val="Stylus BT"/>
        <family val="0"/>
      </rPr>
      <t>2 (a-b</t>
    </r>
    <r>
      <rPr>
        <b/>
        <sz val="10"/>
        <rFont val="Stylus BT"/>
        <family val="0"/>
      </rPr>
      <t>) =</t>
    </r>
  </si>
  <si>
    <r>
      <t>q</t>
    </r>
    <r>
      <rPr>
        <b/>
        <vertAlign val="subscript"/>
        <sz val="10"/>
        <rFont val="Stylus BT"/>
        <family val="0"/>
      </rPr>
      <t>3 (a-b)</t>
    </r>
    <r>
      <rPr>
        <b/>
        <sz val="10"/>
        <rFont val="Stylus BT"/>
        <family val="0"/>
      </rPr>
      <t xml:space="preserve"> =</t>
    </r>
  </si>
  <si>
    <r>
      <t>q</t>
    </r>
    <r>
      <rPr>
        <b/>
        <vertAlign val="subscript"/>
        <sz val="10"/>
        <rFont val="Stylus BT"/>
        <family val="0"/>
      </rPr>
      <t>4 (a-b)</t>
    </r>
    <r>
      <rPr>
        <b/>
        <sz val="10"/>
        <rFont val="Stylus BT"/>
        <family val="0"/>
      </rPr>
      <t xml:space="preserve"> =</t>
    </r>
  </si>
  <si>
    <r>
      <t>Mp</t>
    </r>
    <r>
      <rPr>
        <b/>
        <vertAlign val="subscript"/>
        <sz val="10"/>
        <rFont val="Stylus BT"/>
        <family val="0"/>
      </rPr>
      <t>2</t>
    </r>
    <r>
      <rPr>
        <b/>
        <sz val="10"/>
        <rFont val="Stylus BT"/>
        <family val="0"/>
      </rPr>
      <t xml:space="preserve"> =</t>
    </r>
  </si>
  <si>
    <r>
      <t>Mp</t>
    </r>
    <r>
      <rPr>
        <b/>
        <vertAlign val="subscript"/>
        <sz val="10"/>
        <rFont val="Stylus BT"/>
        <family val="0"/>
      </rPr>
      <t>3</t>
    </r>
    <r>
      <rPr>
        <b/>
        <sz val="10"/>
        <rFont val="Stylus BT"/>
        <family val="0"/>
      </rPr>
      <t xml:space="preserve"> =</t>
    </r>
  </si>
  <si>
    <t>t</t>
  </si>
  <si>
    <r>
      <t>Vp</t>
    </r>
    <r>
      <rPr>
        <b/>
        <vertAlign val="subscript"/>
        <sz val="10"/>
        <rFont val="Stylus BT"/>
        <family val="0"/>
      </rPr>
      <t>1</t>
    </r>
    <r>
      <rPr>
        <b/>
        <sz val="10"/>
        <rFont val="Stylus BT"/>
        <family val="0"/>
      </rPr>
      <t xml:space="preserve"> = </t>
    </r>
  </si>
  <si>
    <r>
      <t>Vp</t>
    </r>
    <r>
      <rPr>
        <b/>
        <vertAlign val="subscript"/>
        <sz val="10"/>
        <rFont val="Stylus BT"/>
        <family val="0"/>
      </rPr>
      <t>4</t>
    </r>
    <r>
      <rPr>
        <b/>
        <sz val="10"/>
        <rFont val="Stylus BT"/>
        <family val="0"/>
      </rPr>
      <t xml:space="preserve"> = </t>
    </r>
  </si>
  <si>
    <t>Se tomaran los elementos mécanicos mayores</t>
  </si>
  <si>
    <t>Diseño a lo largo del eje X</t>
  </si>
  <si>
    <t>Diseño a lo largo del eje Y</t>
  </si>
  <si>
    <r>
      <t>ton/m</t>
    </r>
    <r>
      <rPr>
        <vertAlign val="superscript"/>
        <sz val="10"/>
        <rFont val="Stylus BT"/>
        <family val="0"/>
      </rPr>
      <t>2</t>
    </r>
  </si>
  <si>
    <r>
      <t>q</t>
    </r>
    <r>
      <rPr>
        <b/>
        <vertAlign val="subscript"/>
        <sz val="10"/>
        <rFont val="Stylus BT"/>
        <family val="0"/>
      </rPr>
      <t>adm</t>
    </r>
    <r>
      <rPr>
        <b/>
        <sz val="10"/>
        <rFont val="Stylus BT"/>
        <family val="2"/>
      </rPr>
      <t xml:space="preserve"> =</t>
    </r>
  </si>
  <si>
    <t>Cortantes a un peralte del paños (puntos 1 y 4)</t>
  </si>
  <si>
    <t>Cortantes a un peralte del paño (puntos 1 y 4)</t>
  </si>
  <si>
    <t>Acero por cambios volumétricos</t>
  </si>
  <si>
    <t>As = 0.003bd</t>
  </si>
  <si>
    <t>Este acero se coloca en el lecho opuesto al acero por flexión en ambos sentidos y solo si h es mayor o igual a15 cm</t>
  </si>
  <si>
    <t>El armado esquematicamente queda de la siguiente manera</t>
  </si>
  <si>
    <t>Z A P A T A  AISLADA</t>
  </si>
  <si>
    <t>a  (C1)=</t>
  </si>
  <si>
    <t>b (C2)=</t>
  </si>
  <si>
    <t>ZAPATA AISLADA PALAPA</t>
  </si>
  <si>
    <t>ADRIAN GARCIA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</si>
</sst>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00"/>
    <numFmt numFmtId="180" formatCode="0.000"/>
    <numFmt numFmtId="181" formatCode="0.00000"/>
    <numFmt numFmtId="182" formatCode="0.0000"/>
    <numFmt numFmtId="183" formatCode="0.0000000"/>
    <numFmt numFmtId="184" formatCode="0.00000000"/>
    <numFmt numFmtId="185" formatCode="_(* #,##0.000_);_(* \(#,##0.000\);_(* &quot;-&quot;??_);_(@_)"/>
    <numFmt numFmtId="186" formatCode="0.00E+00;\ĝ"/>
    <numFmt numFmtId="187" formatCode="0.00E+00;\័"/>
    <numFmt numFmtId="188" formatCode="0.0E+00;\័"/>
    <numFmt numFmtId="189" formatCode="0E+00;\័"/>
    <numFmt numFmtId="190" formatCode="0.000000000"/>
    <numFmt numFmtId="191" formatCode="0.0000000000"/>
    <numFmt numFmtId="192" formatCode="0.00000000000"/>
  </numFmts>
  <fonts count="59">
    <font>
      <sz val="10"/>
      <name val="Comic Sans MS"/>
      <family val="4"/>
    </font>
    <font>
      <sz val="10"/>
      <name val="Arial"/>
      <family val="0"/>
    </font>
    <font>
      <sz val="10"/>
      <name val="Symbol"/>
      <family val="1"/>
    </font>
    <font>
      <b/>
      <sz val="10"/>
      <name val="Symbol"/>
      <family val="1"/>
    </font>
    <font>
      <b/>
      <sz val="10"/>
      <name val="Stylus BT"/>
      <family val="2"/>
    </font>
    <font>
      <sz val="10"/>
      <name val="Stylus BT"/>
      <family val="2"/>
    </font>
    <font>
      <sz val="8"/>
      <name val="Stylus BT"/>
      <family val="2"/>
    </font>
    <font>
      <b/>
      <sz val="6"/>
      <name val="Stylus BT"/>
      <family val="2"/>
    </font>
    <font>
      <b/>
      <vertAlign val="subscript"/>
      <sz val="10"/>
      <name val="Stylus BT"/>
      <family val="2"/>
    </font>
    <font>
      <vertAlign val="superscript"/>
      <sz val="10"/>
      <name val="Stylus BT"/>
      <family val="2"/>
    </font>
    <font>
      <sz val="5"/>
      <name val="Stylus BT"/>
      <family val="2"/>
    </font>
    <font>
      <vertAlign val="subscript"/>
      <sz val="10"/>
      <name val="Stylus BT"/>
      <family val="2"/>
    </font>
    <font>
      <b/>
      <sz val="9"/>
      <name val="Stylus BT"/>
      <family val="2"/>
    </font>
    <font>
      <u val="single"/>
      <sz val="10"/>
      <name val="Stylus BT"/>
      <family val="2"/>
    </font>
    <font>
      <sz val="11"/>
      <name val="Stylus BT"/>
      <family val="2"/>
    </font>
    <font>
      <b/>
      <vertAlign val="superscript"/>
      <sz val="10"/>
      <name val="Stylus BT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Stylus BT"/>
      <family val="2"/>
    </font>
    <font>
      <b/>
      <sz val="10"/>
      <color indexed="10"/>
      <name val="Stylus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Comic Sans MS"/>
      <family val="4"/>
    </font>
    <font>
      <u val="single"/>
      <sz val="7.5"/>
      <color indexed="20"/>
      <name val="Comic Sans MS"/>
      <family val="4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Comic Sans MS"/>
      <family val="4"/>
    </font>
    <font>
      <u val="single"/>
      <sz val="7.5"/>
      <color theme="11"/>
      <name val="Comic Sans MS"/>
      <family val="4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omic Sans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179" fontId="5" fillId="33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>
      <alignment/>
    </xf>
    <xf numFmtId="2" fontId="5" fillId="33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0" fontId="5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2" fontId="4" fillId="33" borderId="0" xfId="0" applyNumberFormat="1" applyFont="1" applyFill="1" applyAlignment="1">
      <alignment horizontal="center"/>
    </xf>
    <xf numFmtId="180" fontId="5" fillId="33" borderId="0" xfId="0" applyNumberFormat="1" applyFont="1" applyFill="1" applyAlignment="1">
      <alignment horizontal="center"/>
    </xf>
    <xf numFmtId="180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13" fillId="0" borderId="0" xfId="0" applyFont="1" applyAlignment="1">
      <alignment/>
    </xf>
    <xf numFmtId="181" fontId="5" fillId="34" borderId="0" xfId="0" applyNumberFormat="1" applyFont="1" applyFill="1" applyAlignment="1" applyProtection="1">
      <alignment/>
      <protection/>
    </xf>
    <xf numFmtId="178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180" fontId="4" fillId="33" borderId="0" xfId="0" applyNumberFormat="1" applyFont="1" applyFill="1" applyAlignment="1">
      <alignment horizontal="center"/>
    </xf>
    <xf numFmtId="18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0" fontId="5" fillId="33" borderId="0" xfId="0" applyNumberFormat="1" applyFont="1" applyFill="1" applyAlignment="1">
      <alignment/>
    </xf>
    <xf numFmtId="188" fontId="5" fillId="33" borderId="0" xfId="0" applyNumberFormat="1" applyFont="1" applyFill="1" applyAlignment="1">
      <alignment/>
    </xf>
    <xf numFmtId="181" fontId="5" fillId="35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5" fillId="0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/>
    </xf>
    <xf numFmtId="180" fontId="4" fillId="33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178" fontId="5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82" fontId="5" fillId="33" borderId="0" xfId="0" applyNumberFormat="1" applyFont="1" applyFill="1" applyAlignment="1">
      <alignment horizontal="center"/>
    </xf>
    <xf numFmtId="179" fontId="5" fillId="33" borderId="0" xfId="0" applyNumberFormat="1" applyFont="1" applyFill="1" applyAlignment="1">
      <alignment horizontal="center"/>
    </xf>
    <xf numFmtId="182" fontId="4" fillId="33" borderId="0" xfId="0" applyNumberFormat="1" applyFont="1" applyFill="1" applyAlignment="1">
      <alignment horizontal="center"/>
    </xf>
    <xf numFmtId="1" fontId="4" fillId="36" borderId="0" xfId="0" applyNumberFormat="1" applyFont="1" applyFill="1" applyAlignment="1" applyProtection="1">
      <alignment horizontal="center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 locked="0"/>
    </xf>
    <xf numFmtId="2" fontId="5" fillId="36" borderId="0" xfId="0" applyNumberFormat="1" applyFont="1" applyFill="1" applyAlignment="1" applyProtection="1">
      <alignment horizontal="center"/>
      <protection locked="0"/>
    </xf>
    <xf numFmtId="178" fontId="5" fillId="36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21.emf" /><Relationship Id="rId8" Type="http://schemas.openxmlformats.org/officeDocument/2006/relationships/image" Target="../media/image28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15.emf" /><Relationship Id="rId12" Type="http://schemas.openxmlformats.org/officeDocument/2006/relationships/image" Target="../media/image16.emf" /><Relationship Id="rId13" Type="http://schemas.openxmlformats.org/officeDocument/2006/relationships/image" Target="../media/image14.emf" /><Relationship Id="rId14" Type="http://schemas.openxmlformats.org/officeDocument/2006/relationships/image" Target="../media/image18.emf" /><Relationship Id="rId15" Type="http://schemas.openxmlformats.org/officeDocument/2006/relationships/image" Target="../media/image17.emf" /><Relationship Id="rId16" Type="http://schemas.openxmlformats.org/officeDocument/2006/relationships/image" Target="../media/image35.emf" /><Relationship Id="rId17" Type="http://schemas.openxmlformats.org/officeDocument/2006/relationships/image" Target="../media/image38.emf" /><Relationship Id="rId18" Type="http://schemas.openxmlformats.org/officeDocument/2006/relationships/image" Target="../media/image32.emf" /><Relationship Id="rId19" Type="http://schemas.openxmlformats.org/officeDocument/2006/relationships/image" Target="../media/image37.emf" /><Relationship Id="rId20" Type="http://schemas.openxmlformats.org/officeDocument/2006/relationships/image" Target="../media/image36.emf" /><Relationship Id="rId21" Type="http://schemas.openxmlformats.org/officeDocument/2006/relationships/image" Target="../media/image34.emf" /><Relationship Id="rId22" Type="http://schemas.openxmlformats.org/officeDocument/2006/relationships/image" Target="../media/image33.emf" /><Relationship Id="rId23" Type="http://schemas.openxmlformats.org/officeDocument/2006/relationships/image" Target="../media/image39.emf" /><Relationship Id="rId24" Type="http://schemas.openxmlformats.org/officeDocument/2006/relationships/image" Target="../media/image40.emf" /><Relationship Id="rId25" Type="http://schemas.openxmlformats.org/officeDocument/2006/relationships/image" Target="../media/image30.emf" /><Relationship Id="rId26" Type="http://schemas.openxmlformats.org/officeDocument/2006/relationships/image" Target="../media/image29.emf" /><Relationship Id="rId27" Type="http://schemas.openxmlformats.org/officeDocument/2006/relationships/image" Target="../media/image31.emf" /><Relationship Id="rId28" Type="http://schemas.openxmlformats.org/officeDocument/2006/relationships/image" Target="../media/image7.emf" /><Relationship Id="rId29" Type="http://schemas.openxmlformats.org/officeDocument/2006/relationships/image" Target="../media/image9.emf" /><Relationship Id="rId30" Type="http://schemas.openxmlformats.org/officeDocument/2006/relationships/image" Target="../media/image24.emf" /><Relationship Id="rId31" Type="http://schemas.openxmlformats.org/officeDocument/2006/relationships/image" Target="../media/image8.emf" /><Relationship Id="rId32" Type="http://schemas.openxmlformats.org/officeDocument/2006/relationships/image" Target="../media/image6.emf" /><Relationship Id="rId33" Type="http://schemas.openxmlformats.org/officeDocument/2006/relationships/image" Target="../media/image12.emf" /><Relationship Id="rId34" Type="http://schemas.openxmlformats.org/officeDocument/2006/relationships/image" Target="../media/image23.emf" /><Relationship Id="rId35" Type="http://schemas.openxmlformats.org/officeDocument/2006/relationships/image" Target="../media/image25.emf" /><Relationship Id="rId36" Type="http://schemas.openxmlformats.org/officeDocument/2006/relationships/image" Target="../media/image27.emf" /><Relationship Id="rId37" Type="http://schemas.openxmlformats.org/officeDocument/2006/relationships/image" Target="../media/image10.emf" /><Relationship Id="rId38" Type="http://schemas.openxmlformats.org/officeDocument/2006/relationships/image" Target="../media/image22.emf" /><Relationship Id="rId39" Type="http://schemas.openxmlformats.org/officeDocument/2006/relationships/image" Target="../media/image3.emf" /><Relationship Id="rId40" Type="http://schemas.openxmlformats.org/officeDocument/2006/relationships/image" Target="../media/image26.emf" /><Relationship Id="rId41" Type="http://schemas.openxmlformats.org/officeDocument/2006/relationships/image" Target="../media/image1.emf" /><Relationship Id="rId42" Type="http://schemas.openxmlformats.org/officeDocument/2006/relationships/image" Target="../media/image16.emf" /><Relationship Id="rId43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oleObject" Target="../embeddings/oleObject_0_28.bin" /><Relationship Id="rId31" Type="http://schemas.openxmlformats.org/officeDocument/2006/relationships/oleObject" Target="../embeddings/oleObject_0_29.bin" /><Relationship Id="rId32" Type="http://schemas.openxmlformats.org/officeDocument/2006/relationships/oleObject" Target="../embeddings/oleObject_0_30.bin" /><Relationship Id="rId33" Type="http://schemas.openxmlformats.org/officeDocument/2006/relationships/oleObject" Target="../embeddings/oleObject_0_31.bin" /><Relationship Id="rId34" Type="http://schemas.openxmlformats.org/officeDocument/2006/relationships/oleObject" Target="../embeddings/oleObject_0_32.bin" /><Relationship Id="rId35" Type="http://schemas.openxmlformats.org/officeDocument/2006/relationships/oleObject" Target="../embeddings/oleObject_0_33.bin" /><Relationship Id="rId36" Type="http://schemas.openxmlformats.org/officeDocument/2006/relationships/oleObject" Target="../embeddings/oleObject_0_34.bin" /><Relationship Id="rId37" Type="http://schemas.openxmlformats.org/officeDocument/2006/relationships/oleObject" Target="../embeddings/oleObject_0_35.bin" /><Relationship Id="rId38" Type="http://schemas.openxmlformats.org/officeDocument/2006/relationships/oleObject" Target="../embeddings/oleObject_0_36.bin" /><Relationship Id="rId39" Type="http://schemas.openxmlformats.org/officeDocument/2006/relationships/oleObject" Target="../embeddings/oleObject_0_37.bin" /><Relationship Id="rId40" Type="http://schemas.openxmlformats.org/officeDocument/2006/relationships/oleObject" Target="../embeddings/oleObject_0_38.bin" /><Relationship Id="rId41" Type="http://schemas.openxmlformats.org/officeDocument/2006/relationships/oleObject" Target="../embeddings/oleObject_0_39.bin" /><Relationship Id="rId42" Type="http://schemas.openxmlformats.org/officeDocument/2006/relationships/oleObject" Target="../embeddings/oleObject_0_40.bin" /><Relationship Id="rId43" Type="http://schemas.openxmlformats.org/officeDocument/2006/relationships/oleObject" Target="../embeddings/oleObject_0_41.bin" /><Relationship Id="rId44" Type="http://schemas.openxmlformats.org/officeDocument/2006/relationships/oleObject" Target="../embeddings/oleObject_0_42.bin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view="pageBreakPreview" zoomScaleSheetLayoutView="100" zoomScalePageLayoutView="0" workbookViewId="0" topLeftCell="A1">
      <selection activeCell="M335" sqref="M335"/>
    </sheetView>
  </sheetViews>
  <sheetFormatPr defaultColWidth="11.00390625" defaultRowHeight="15"/>
  <cols>
    <col min="1" max="4" width="7.875" style="4" customWidth="1"/>
    <col min="5" max="5" width="9.00390625" style="4" customWidth="1"/>
    <col min="6" max="6" width="9.375" style="4" customWidth="1"/>
    <col min="7" max="7" width="7.25390625" style="4" bestFit="1" customWidth="1"/>
    <col min="8" max="8" width="9.75390625" style="4" customWidth="1"/>
    <col min="9" max="9" width="9.25390625" style="4" customWidth="1"/>
    <col min="10" max="10" width="6.875" style="4" customWidth="1"/>
    <col min="11" max="11" width="6.00390625" style="4" bestFit="1" customWidth="1"/>
    <col min="12" max="16384" width="11.00390625" style="4" customWidth="1"/>
  </cols>
  <sheetData>
    <row r="1" ht="12.75">
      <c r="F1" s="4" t="s">
        <v>203</v>
      </c>
    </row>
    <row r="2" spans="1:6" ht="12.75">
      <c r="A2" s="3" t="s">
        <v>200</v>
      </c>
      <c r="F2" s="4" t="s">
        <v>204</v>
      </c>
    </row>
    <row r="3" ht="12.75">
      <c r="A3" s="3"/>
    </row>
    <row r="4" s="5" customFormat="1" ht="12"/>
    <row r="5" s="5" customFormat="1" ht="12"/>
    <row r="6" s="5" customFormat="1" ht="12"/>
    <row r="7" s="5" customFormat="1" ht="12"/>
    <row r="8" s="5" customFormat="1" ht="12"/>
    <row r="9" s="5" customFormat="1" ht="12"/>
    <row r="10" s="5" customFormat="1" ht="12"/>
    <row r="11" s="5" customFormat="1" ht="12"/>
    <row r="12" s="5" customFormat="1" ht="12"/>
    <row r="13" s="5" customFormat="1" ht="12"/>
    <row r="14" s="5" customFormat="1" ht="12"/>
    <row r="15" s="5" customFormat="1" ht="12"/>
    <row r="16" s="5" customFormat="1" ht="12"/>
    <row r="17" s="5" customFormat="1" ht="12"/>
    <row r="18" s="5" customFormat="1" ht="12"/>
    <row r="19" s="5" customFormat="1" ht="12"/>
    <row r="20" s="5" customFormat="1" ht="12"/>
    <row r="21" s="5" customFormat="1" ht="12"/>
    <row r="22" spans="4:6" ht="12.75">
      <c r="D22" s="3" t="s">
        <v>0</v>
      </c>
      <c r="F22" s="3" t="s">
        <v>2</v>
      </c>
    </row>
    <row r="23" spans="1:8" ht="12.75">
      <c r="A23" s="3" t="s">
        <v>2</v>
      </c>
      <c r="B23" s="3" t="s">
        <v>1</v>
      </c>
      <c r="F23" s="3" t="s">
        <v>2</v>
      </c>
      <c r="G23" s="3" t="s">
        <v>7</v>
      </c>
      <c r="H23" s="6"/>
    </row>
    <row r="24" s="5" customFormat="1" ht="12"/>
    <row r="25" spans="1:9" ht="12.75">
      <c r="A25" s="7" t="s">
        <v>3</v>
      </c>
      <c r="B25" s="66">
        <v>2</v>
      </c>
      <c r="C25" s="4" t="s">
        <v>91</v>
      </c>
      <c r="D25" s="66">
        <v>0.55</v>
      </c>
      <c r="E25" s="4" t="s">
        <v>85</v>
      </c>
      <c r="F25" s="7" t="s">
        <v>8</v>
      </c>
      <c r="G25" s="66">
        <v>21</v>
      </c>
      <c r="H25" s="4" t="s">
        <v>13</v>
      </c>
      <c r="I25" s="51"/>
    </row>
    <row r="26" spans="1:9" ht="12.75">
      <c r="A26" s="7" t="s">
        <v>4</v>
      </c>
      <c r="B26" s="66">
        <v>2</v>
      </c>
      <c r="C26" s="4" t="s">
        <v>92</v>
      </c>
      <c r="D26" s="16">
        <f>B25-B27-D25</f>
        <v>0.55</v>
      </c>
      <c r="E26" s="4" t="s">
        <v>85</v>
      </c>
      <c r="F26" s="7" t="s">
        <v>9</v>
      </c>
      <c r="G26" s="66">
        <v>2.5</v>
      </c>
      <c r="H26" s="4" t="s">
        <v>13</v>
      </c>
      <c r="I26" s="47"/>
    </row>
    <row r="27" spans="1:9" ht="12.75">
      <c r="A27" s="7" t="s">
        <v>201</v>
      </c>
      <c r="B27" s="66">
        <v>0.9</v>
      </c>
      <c r="C27" s="4" t="s">
        <v>93</v>
      </c>
      <c r="D27" s="66">
        <v>0.55</v>
      </c>
      <c r="E27" s="4" t="s">
        <v>85</v>
      </c>
      <c r="F27" s="7" t="s">
        <v>10</v>
      </c>
      <c r="G27" s="66">
        <v>14</v>
      </c>
      <c r="H27" s="4" t="s">
        <v>14</v>
      </c>
      <c r="I27" s="47"/>
    </row>
    <row r="28" spans="1:8" ht="12.75">
      <c r="A28" s="7" t="s">
        <v>202</v>
      </c>
      <c r="B28" s="66">
        <v>0.9</v>
      </c>
      <c r="C28" s="4" t="s">
        <v>94</v>
      </c>
      <c r="D28" s="16">
        <f>B26-D27-B28</f>
        <v>0.5499999999999999</v>
      </c>
      <c r="E28" s="4" t="s">
        <v>85</v>
      </c>
      <c r="F28" s="7" t="s">
        <v>11</v>
      </c>
      <c r="G28" s="66">
        <v>0</v>
      </c>
      <c r="H28" s="4" t="s">
        <v>13</v>
      </c>
    </row>
    <row r="29" spans="1:8" ht="12.75">
      <c r="A29" s="7" t="s">
        <v>6</v>
      </c>
      <c r="B29" s="66">
        <v>0.3</v>
      </c>
      <c r="C29" s="46" t="s">
        <v>157</v>
      </c>
      <c r="D29" s="16">
        <f>-(B25/2-(D25+B27/2))</f>
        <v>0</v>
      </c>
      <c r="E29" s="4" t="s">
        <v>85</v>
      </c>
      <c r="F29" s="7" t="s">
        <v>12</v>
      </c>
      <c r="G29" s="66">
        <v>0</v>
      </c>
      <c r="H29" s="4" t="s">
        <v>14</v>
      </c>
    </row>
    <row r="30" spans="1:5" ht="12.75">
      <c r="A30" s="7" t="s">
        <v>15</v>
      </c>
      <c r="B30" s="66">
        <v>1.2</v>
      </c>
      <c r="C30" s="4" t="s">
        <v>156</v>
      </c>
      <c r="D30" s="16">
        <f>(B26/2-(D27+B28/2))</f>
        <v>0</v>
      </c>
      <c r="E30" s="4" t="s">
        <v>85</v>
      </c>
    </row>
    <row r="31" spans="1:8" ht="12.75">
      <c r="A31" s="7" t="s">
        <v>87</v>
      </c>
      <c r="B31" s="66">
        <v>0.1</v>
      </c>
      <c r="C31" s="4" t="s">
        <v>85</v>
      </c>
      <c r="D31" s="8"/>
      <c r="E31" s="9"/>
      <c r="G31" s="9"/>
      <c r="H31" s="10"/>
    </row>
    <row r="32" spans="1:8" ht="12.75">
      <c r="A32" s="4" t="s">
        <v>95</v>
      </c>
      <c r="C32" s="67">
        <v>5</v>
      </c>
      <c r="D32" s="4" t="s">
        <v>16</v>
      </c>
      <c r="F32" s="4" t="s">
        <v>96</v>
      </c>
      <c r="H32" s="65">
        <v>1.4</v>
      </c>
    </row>
    <row r="33" spans="1:9" ht="12.75">
      <c r="A33" s="4" t="s">
        <v>97</v>
      </c>
      <c r="C33" s="67">
        <v>12.6</v>
      </c>
      <c r="D33" s="4" t="s">
        <v>98</v>
      </c>
      <c r="F33" s="4" t="s">
        <v>99</v>
      </c>
      <c r="H33" s="65">
        <v>4200</v>
      </c>
      <c r="I33" s="4" t="s">
        <v>100</v>
      </c>
    </row>
    <row r="34" spans="1:9" ht="12.75">
      <c r="A34" s="4" t="s">
        <v>142</v>
      </c>
      <c r="C34" s="66">
        <v>2.12</v>
      </c>
      <c r="D34" s="4" t="s">
        <v>101</v>
      </c>
      <c r="F34" s="4" t="s">
        <v>102</v>
      </c>
      <c r="H34" s="65">
        <v>250</v>
      </c>
      <c r="I34" s="4" t="s">
        <v>100</v>
      </c>
    </row>
    <row r="35" spans="6:8" s="11" customFormat="1" ht="12" customHeight="1">
      <c r="F35" s="14" t="s">
        <v>151</v>
      </c>
      <c r="H35" s="65" t="s">
        <v>158</v>
      </c>
    </row>
    <row r="36" ht="12.75">
      <c r="A36" s="3" t="s">
        <v>17</v>
      </c>
    </row>
    <row r="37" s="11" customFormat="1" ht="13.5" customHeight="1"/>
    <row r="38" spans="2:7" ht="12.75">
      <c r="B38" s="3" t="s">
        <v>103</v>
      </c>
      <c r="E38" s="7" t="s">
        <v>104</v>
      </c>
      <c r="F38" s="12">
        <f>0.8*$H$34</f>
        <v>200</v>
      </c>
      <c r="G38" s="4" t="s">
        <v>100</v>
      </c>
    </row>
    <row r="39" ht="13.5" customHeight="1">
      <c r="A39" s="5"/>
    </row>
    <row r="40" spans="2:7" ht="12.75">
      <c r="B40" s="3" t="s">
        <v>105</v>
      </c>
      <c r="E40" s="7" t="s">
        <v>106</v>
      </c>
      <c r="F40" s="12">
        <f>0.85*$F$38</f>
        <v>170</v>
      </c>
      <c r="G40" s="4" t="s">
        <v>100</v>
      </c>
    </row>
    <row r="41" ht="12.75"/>
    <row r="42" spans="5:6" ht="12.75">
      <c r="E42" s="2" t="s">
        <v>144</v>
      </c>
      <c r="F42" s="12">
        <f>IF(F38&lt;=280,0.85,1.05-F38/1400)</f>
        <v>0.85</v>
      </c>
    </row>
    <row r="43" ht="13.5" customHeight="1"/>
    <row r="44" spans="5:6" ht="12.75">
      <c r="E44" s="2" t="s">
        <v>107</v>
      </c>
      <c r="F44" s="13">
        <f>(0.7*SQRT($H$34))/$H$33</f>
        <v>0.002635231383473649</v>
      </c>
    </row>
    <row r="45" ht="12.75"/>
    <row r="46" spans="7:8" ht="12.75">
      <c r="G46" s="14" t="s">
        <v>2</v>
      </c>
      <c r="H46" s="15" t="s">
        <v>2</v>
      </c>
    </row>
    <row r="47" spans="5:6" ht="12.75">
      <c r="E47" s="2" t="s">
        <v>170</v>
      </c>
      <c r="F47" s="45">
        <f>($F$40/$H$33)*(6000*$F$42/(6000+$H$33))</f>
        <v>0.02023809523809524</v>
      </c>
    </row>
    <row r="48" ht="12.75"/>
    <row r="49" spans="5:6" ht="12.75">
      <c r="E49" s="2" t="s">
        <v>108</v>
      </c>
      <c r="F49" s="45">
        <f>IF(H35="si",($F$40/$H$33)*(6000*$F$42/(6000+$H$33))*0.75,($F$40/$H$33)*(6000*$F$42/(6000+$H$33))*0.9)</f>
        <v>0.01517857142857143</v>
      </c>
    </row>
    <row r="50" ht="12.75">
      <c r="A50" s="3" t="s">
        <v>23</v>
      </c>
    </row>
    <row r="51" ht="12.75"/>
    <row r="52" spans="1:7" ht="12.75">
      <c r="A52" s="14" t="s">
        <v>20</v>
      </c>
      <c r="B52" s="4" t="s">
        <v>21</v>
      </c>
      <c r="E52" s="14" t="s">
        <v>22</v>
      </c>
      <c r="F52" s="60">
        <f>$B$25*$B$26*$B$29*2.4</f>
        <v>2.88</v>
      </c>
      <c r="G52" s="4" t="s">
        <v>13</v>
      </c>
    </row>
    <row r="53" spans="1:8" ht="12.75">
      <c r="A53" s="14" t="s">
        <v>19</v>
      </c>
      <c r="B53" s="4" t="s">
        <v>88</v>
      </c>
      <c r="E53" s="14" t="s">
        <v>22</v>
      </c>
      <c r="F53" s="28">
        <f>$B$27*$B$28*($B$30-$B$29+$B$31)*2.4</f>
        <v>1.9439999999999997</v>
      </c>
      <c r="G53" s="4" t="s">
        <v>13</v>
      </c>
      <c r="H53" s="17" t="s">
        <v>2</v>
      </c>
    </row>
    <row r="54" spans="1:10" ht="12.75">
      <c r="A54" s="14" t="s">
        <v>18</v>
      </c>
      <c r="B54" s="4" t="s">
        <v>147</v>
      </c>
      <c r="F54" s="16">
        <f>(($B$25*$B$26)-($B$27*$B$28))*($B$30-$B$29)*$C$34</f>
        <v>6.086519999999999</v>
      </c>
      <c r="G54" s="4" t="s">
        <v>13</v>
      </c>
      <c r="H54" s="18" t="s">
        <v>86</v>
      </c>
      <c r="I54" s="16">
        <f>SUM(F52:F54)</f>
        <v>10.910519999999998</v>
      </c>
      <c r="J54" s="4" t="s">
        <v>13</v>
      </c>
    </row>
    <row r="55" spans="1:7" ht="12.75">
      <c r="A55" s="14" t="s">
        <v>8</v>
      </c>
      <c r="E55" s="14" t="s">
        <v>22</v>
      </c>
      <c r="F55" s="19">
        <f>$G$25</f>
        <v>21</v>
      </c>
      <c r="G55" s="4" t="s">
        <v>13</v>
      </c>
    </row>
    <row r="56" spans="5:7" ht="12.75">
      <c r="E56" s="7" t="s">
        <v>109</v>
      </c>
      <c r="F56" s="45">
        <f>SUM($F$52:$F$55)</f>
        <v>31.910519999999998</v>
      </c>
      <c r="G56" s="4" t="s">
        <v>13</v>
      </c>
    </row>
    <row r="57" spans="1:6" s="10" customFormat="1" ht="12.75">
      <c r="A57" s="3" t="s">
        <v>168</v>
      </c>
      <c r="E57" s="8"/>
      <c r="F57" s="17"/>
    </row>
    <row r="58" spans="5:6" s="10" customFormat="1" ht="12.75">
      <c r="E58" s="8"/>
      <c r="F58" s="17"/>
    </row>
    <row r="59" spans="1:7" s="10" customFormat="1" ht="12.75">
      <c r="A59" s="14" t="s">
        <v>20</v>
      </c>
      <c r="B59" s="16">
        <f>F52</f>
        <v>2.88</v>
      </c>
      <c r="C59" s="20" t="s">
        <v>89</v>
      </c>
      <c r="D59" s="16">
        <f>B25/2</f>
        <v>1</v>
      </c>
      <c r="E59" s="21" t="s">
        <v>22</v>
      </c>
      <c r="F59" s="16">
        <f>B59*D59</f>
        <v>2.88</v>
      </c>
      <c r="G59" s="4" t="s">
        <v>14</v>
      </c>
    </row>
    <row r="60" spans="1:7" s="10" customFormat="1" ht="12.75">
      <c r="A60" s="14" t="s">
        <v>19</v>
      </c>
      <c r="B60" s="16">
        <f>F53</f>
        <v>1.9439999999999997</v>
      </c>
      <c r="C60" s="20" t="s">
        <v>89</v>
      </c>
      <c r="D60" s="16">
        <f>IF(G29&gt;=0,D26+B27/2,D25+B27/2)</f>
        <v>1</v>
      </c>
      <c r="E60" s="21" t="s">
        <v>22</v>
      </c>
      <c r="F60" s="16">
        <f>B60*D60</f>
        <v>1.9439999999999997</v>
      </c>
      <c r="G60" s="4" t="s">
        <v>14</v>
      </c>
    </row>
    <row r="61" spans="1:7" s="10" customFormat="1" ht="12.75">
      <c r="A61" s="14" t="s">
        <v>18</v>
      </c>
      <c r="B61" s="16">
        <f>F54</f>
        <v>6.086519999999999</v>
      </c>
      <c r="C61" s="20" t="s">
        <v>89</v>
      </c>
      <c r="D61" s="16">
        <f>IF(G29&gt;=0,B25-((B26*D25^2/2+D27*B27*(D25+B27/2)+D28*B27*(D25+B27/2)+B26*D26*(D26/2+B27+D25))/(B25*B26-B27*B28)),((B26*D25^2/2+D27*B27*(D25+B27/2)+D28*B27*(D25+B27/2)+B26*D26*(D26/2+B27+D25))/(B25*B26-B27*B28)))</f>
        <v>0.9999999999999998</v>
      </c>
      <c r="E61" s="21" t="s">
        <v>22</v>
      </c>
      <c r="F61" s="16">
        <f>B61*D61</f>
        <v>6.0865199999999975</v>
      </c>
      <c r="G61" s="4" t="s">
        <v>14</v>
      </c>
    </row>
    <row r="62" spans="1:7" s="10" customFormat="1" ht="12.75">
      <c r="A62" s="14" t="s">
        <v>8</v>
      </c>
      <c r="B62" s="16">
        <f>F55</f>
        <v>21</v>
      </c>
      <c r="C62" s="20" t="s">
        <v>89</v>
      </c>
      <c r="D62" s="16">
        <f>IF(G29&gt;=0,D26+B27/2,D25+B27/2)</f>
        <v>1</v>
      </c>
      <c r="E62" s="21" t="s">
        <v>22</v>
      </c>
      <c r="F62" s="16">
        <f>B62*D62</f>
        <v>21</v>
      </c>
      <c r="G62" s="4" t="s">
        <v>14</v>
      </c>
    </row>
    <row r="63" spans="5:7" ht="12.75">
      <c r="E63" s="7" t="s">
        <v>110</v>
      </c>
      <c r="F63" s="16">
        <f>SUM(F59:F62)</f>
        <v>31.910519999999998</v>
      </c>
      <c r="G63" s="4" t="s">
        <v>14</v>
      </c>
    </row>
    <row r="64" spans="1:6" s="10" customFormat="1" ht="12.75">
      <c r="A64" s="3" t="s">
        <v>169</v>
      </c>
      <c r="E64" s="8"/>
      <c r="F64" s="17"/>
    </row>
    <row r="65" spans="5:6" s="10" customFormat="1" ht="12.75">
      <c r="E65" s="8"/>
      <c r="F65" s="17"/>
    </row>
    <row r="66" spans="1:7" s="10" customFormat="1" ht="12.75">
      <c r="A66" s="14" t="s">
        <v>20</v>
      </c>
      <c r="B66" s="16">
        <f>$B$25*$B$26*$B$29*2.4</f>
        <v>2.88</v>
      </c>
      <c r="C66" s="20" t="s">
        <v>89</v>
      </c>
      <c r="D66" s="16">
        <f>B26/2</f>
        <v>1</v>
      </c>
      <c r="E66" s="21" t="s">
        <v>22</v>
      </c>
      <c r="F66" s="45">
        <f>B66*D66</f>
        <v>2.88</v>
      </c>
      <c r="G66" s="4" t="s">
        <v>14</v>
      </c>
    </row>
    <row r="67" spans="1:7" s="10" customFormat="1" ht="12.75">
      <c r="A67" s="14" t="s">
        <v>19</v>
      </c>
      <c r="B67" s="16">
        <f>$B$27*$B$28*($B$30-$B$29+$B$31)*2.4</f>
        <v>1.9439999999999997</v>
      </c>
      <c r="C67" s="20" t="s">
        <v>89</v>
      </c>
      <c r="D67" s="16">
        <f>IF(G27&gt;=0,D27+B28/2,D28+B28/2)</f>
        <v>1</v>
      </c>
      <c r="E67" s="21" t="s">
        <v>22</v>
      </c>
      <c r="F67" s="61">
        <f>B67*D67</f>
        <v>1.9439999999999997</v>
      </c>
      <c r="G67" s="4" t="s">
        <v>14</v>
      </c>
    </row>
    <row r="68" spans="1:7" s="10" customFormat="1" ht="12.75">
      <c r="A68" s="14" t="s">
        <v>18</v>
      </c>
      <c r="B68" s="16">
        <f>(($B$25*$B$26)-($B$27*$B$28))*($B$30-$B$29)*$C$34</f>
        <v>6.086519999999999</v>
      </c>
      <c r="C68" s="20" t="s">
        <v>89</v>
      </c>
      <c r="D68" s="16">
        <f>IF(G27&gt;=0,B26-((D25*B26^2/2+B27*D28^2/2+B27*D27*(D28+B28+D27/2)+D26*B26^2/2)/(B25*B26-B27*B28)),((D25*B26^2/2+B27*D28^2/2+B27*D27*(D28+B28+D27/2)+D26*B26^2/2)/(B25*B26-B27*B28)))</f>
        <v>0.9999999999999998</v>
      </c>
      <c r="E68" s="21" t="s">
        <v>22</v>
      </c>
      <c r="F68" s="61">
        <f>B68*D68</f>
        <v>6.0865199999999975</v>
      </c>
      <c r="G68" s="4" t="s">
        <v>14</v>
      </c>
    </row>
    <row r="69" spans="1:7" s="10" customFormat="1" ht="12.75">
      <c r="A69" s="14" t="s">
        <v>8</v>
      </c>
      <c r="B69" s="16">
        <f>$G$25</f>
        <v>21</v>
      </c>
      <c r="C69" s="20" t="s">
        <v>89</v>
      </c>
      <c r="D69" s="16">
        <f>IF(G27&gt;=0,D27+B28/2,D28+B28/2)</f>
        <v>1</v>
      </c>
      <c r="E69" s="21" t="s">
        <v>22</v>
      </c>
      <c r="F69" s="61">
        <f>B69*D69</f>
        <v>21</v>
      </c>
      <c r="G69" s="4" t="s">
        <v>14</v>
      </c>
    </row>
    <row r="70" spans="4:7" ht="14.25">
      <c r="D70" s="26"/>
      <c r="E70" s="7" t="s">
        <v>111</v>
      </c>
      <c r="F70" s="45">
        <f>SUM(F66:F69)</f>
        <v>31.910519999999998</v>
      </c>
      <c r="G70" s="4" t="s">
        <v>14</v>
      </c>
    </row>
    <row r="71" ht="12.75">
      <c r="A71" s="3" t="s">
        <v>24</v>
      </c>
    </row>
    <row r="72" ht="12.75"/>
    <row r="73" spans="1:9" ht="12.75">
      <c r="A73" s="3" t="s">
        <v>112</v>
      </c>
      <c r="F73" s="7" t="s">
        <v>113</v>
      </c>
      <c r="G73" s="16">
        <f>$G$29+($G$26*($B$30+$B$31))</f>
        <v>3.25</v>
      </c>
      <c r="H73" s="4" t="s">
        <v>14</v>
      </c>
      <c r="I73" s="4" t="s">
        <v>2</v>
      </c>
    </row>
    <row r="74" ht="12.75">
      <c r="C74" s="4" t="s">
        <v>25</v>
      </c>
    </row>
    <row r="75" spans="1:8" ht="12.75">
      <c r="A75" s="3" t="s">
        <v>114</v>
      </c>
      <c r="F75" s="7" t="s">
        <v>115</v>
      </c>
      <c r="G75" s="16">
        <f>$G$27+$G$28*($B$30+$B$31)</f>
        <v>14</v>
      </c>
      <c r="H75" s="4" t="s">
        <v>14</v>
      </c>
    </row>
    <row r="76" ht="12.75"/>
    <row r="77" spans="1:8" ht="12.75">
      <c r="A77" s="3" t="s">
        <v>116</v>
      </c>
      <c r="F77" s="7" t="s">
        <v>117</v>
      </c>
      <c r="G77" s="16">
        <f>F63</f>
        <v>31.910519999999998</v>
      </c>
      <c r="H77" s="4" t="s">
        <v>14</v>
      </c>
    </row>
    <row r="78" ht="12.75">
      <c r="C78" s="4" t="s">
        <v>26</v>
      </c>
    </row>
    <row r="79" spans="1:8" ht="12.75">
      <c r="A79" s="3" t="s">
        <v>118</v>
      </c>
      <c r="F79" s="7" t="s">
        <v>119</v>
      </c>
      <c r="G79" s="16">
        <f>F70</f>
        <v>31.910519999999998</v>
      </c>
      <c r="H79" s="4" t="s">
        <v>14</v>
      </c>
    </row>
    <row r="80" ht="12.75"/>
    <row r="81" ht="12.75">
      <c r="A81" s="3" t="s">
        <v>27</v>
      </c>
    </row>
    <row r="82" ht="12.75">
      <c r="F82" s="47"/>
    </row>
    <row r="83" spans="1:8" ht="12.75">
      <c r="A83" s="3" t="s">
        <v>120</v>
      </c>
      <c r="E83" s="7" t="s">
        <v>121</v>
      </c>
      <c r="F83" s="27">
        <f>ABS(G77/G73)</f>
        <v>9.818621538461539</v>
      </c>
      <c r="G83" s="4" t="s">
        <v>90</v>
      </c>
      <c r="H83" s="57" t="str">
        <f>IF(F83&gt;=1.5,"OK","NO PASA")</f>
        <v>OK</v>
      </c>
    </row>
    <row r="84" ht="12.75"/>
    <row r="85" spans="1:8" ht="12.75">
      <c r="A85" s="3" t="s">
        <v>122</v>
      </c>
      <c r="E85" s="7" t="s">
        <v>123</v>
      </c>
      <c r="F85" s="27">
        <f>ABS(G79/G75)</f>
        <v>2.279322857142857</v>
      </c>
      <c r="G85" s="4" t="s">
        <v>90</v>
      </c>
      <c r="H85" s="57" t="str">
        <f>IF(F85&gt;=1.5,"OK","NO PASA")</f>
        <v>OK</v>
      </c>
    </row>
    <row r="86" ht="12.75"/>
    <row r="87" ht="12.75">
      <c r="A87" s="3" t="s">
        <v>28</v>
      </c>
    </row>
    <row r="88" ht="12.75">
      <c r="A88" s="3"/>
    </row>
    <row r="89" ht="12.75">
      <c r="A89" s="4" t="s">
        <v>29</v>
      </c>
    </row>
    <row r="90" spans="1:7" ht="12.75">
      <c r="A90" s="14" t="s">
        <v>124</v>
      </c>
      <c r="B90" s="4" t="s">
        <v>30</v>
      </c>
      <c r="E90" s="14" t="s">
        <v>124</v>
      </c>
      <c r="F90" s="28">
        <f>$B$25*$B$26</f>
        <v>4</v>
      </c>
      <c r="G90" s="4" t="s">
        <v>125</v>
      </c>
    </row>
    <row r="91" ht="12.75"/>
    <row r="92" spans="1:7" ht="12.75">
      <c r="A92" s="4" t="s">
        <v>2</v>
      </c>
      <c r="B92" s="14" t="s">
        <v>126</v>
      </c>
      <c r="C92" s="28">
        <f>($B$25*$B$26^3)/12</f>
        <v>1.3333333333333333</v>
      </c>
      <c r="D92" s="4" t="s">
        <v>127</v>
      </c>
      <c r="E92" s="14" t="s">
        <v>126</v>
      </c>
      <c r="F92" s="28">
        <f>($B$25*$B$26^2)/6</f>
        <v>1.3333333333333333</v>
      </c>
      <c r="G92" s="4" t="s">
        <v>128</v>
      </c>
    </row>
    <row r="93" spans="2:6" ht="12.75">
      <c r="B93" s="14"/>
      <c r="F93" s="29"/>
    </row>
    <row r="94" spans="2:7" ht="12.75">
      <c r="B94" s="14" t="s">
        <v>126</v>
      </c>
      <c r="C94" s="28">
        <f>($B$26*$B$25^3)/12</f>
        <v>1.3333333333333333</v>
      </c>
      <c r="D94" s="4" t="s">
        <v>127</v>
      </c>
      <c r="E94" s="14" t="s">
        <v>126</v>
      </c>
      <c r="F94" s="28">
        <f>($B$26*$B$25^2)/6</f>
        <v>1.3333333333333333</v>
      </c>
      <c r="G94" s="4" t="s">
        <v>128</v>
      </c>
    </row>
    <row r="95" ht="12.75">
      <c r="F95" s="4" t="s">
        <v>2</v>
      </c>
    </row>
    <row r="96" ht="12.75">
      <c r="A96" s="3" t="s">
        <v>31</v>
      </c>
    </row>
    <row r="97" s="46" customFormat="1" ht="12.75"/>
    <row r="98" s="46" customFormat="1" ht="12.75">
      <c r="A98" s="46" t="s">
        <v>171</v>
      </c>
    </row>
    <row r="99" s="46" customFormat="1" ht="12.75"/>
    <row r="100" spans="4:5" s="46" customFormat="1" ht="12.75">
      <c r="D100" s="28">
        <f>G75+D30*G25</f>
        <v>14</v>
      </c>
      <c r="E100" s="4" t="s">
        <v>14</v>
      </c>
    </row>
    <row r="101" s="46" customFormat="1" ht="12.75"/>
    <row r="102" s="46" customFormat="1" ht="12.75">
      <c r="A102" s="46" t="s">
        <v>172</v>
      </c>
    </row>
    <row r="103" s="46" customFormat="1" ht="12.75"/>
    <row r="104" spans="4:5" s="46" customFormat="1" ht="12.75">
      <c r="D104" s="28">
        <f>G73+G25*D29</f>
        <v>3.25</v>
      </c>
      <c r="E104" s="4" t="s">
        <v>14</v>
      </c>
    </row>
    <row r="105" s="46" customFormat="1" ht="12.75"/>
    <row r="106" s="46" customFormat="1" ht="12.75"/>
    <row r="107" spans="5:6" s="46" customFormat="1" ht="12.75">
      <c r="E107" s="28">
        <f>$F$56/($B$25*$B$26)+$D$100*$B$26/2/$C$92-$D$104*$B$25/2/$C$94</f>
        <v>16.040129999999998</v>
      </c>
      <c r="F107" s="46" t="s">
        <v>192</v>
      </c>
    </row>
    <row r="108" s="46" customFormat="1" ht="12.75"/>
    <row r="109" s="46" customFormat="1" ht="12.75"/>
    <row r="110" spans="5:6" s="46" customFormat="1" ht="12.75">
      <c r="E110" s="28">
        <f>$F$56/($B$25*$B$26)+$D$100*$B$26/2/$C$92+$D$104*$B$25/2/$C$94</f>
        <v>20.915129999999998</v>
      </c>
      <c r="F110" s="46" t="s">
        <v>192</v>
      </c>
    </row>
    <row r="111" s="46" customFormat="1" ht="12.75"/>
    <row r="112" s="46" customFormat="1" ht="12.75"/>
    <row r="113" spans="5:6" s="46" customFormat="1" ht="12.75">
      <c r="E113" s="28">
        <f>$F$56/($B$25*$B$26)-$D$100*$B$26/2/$C$92-$D$104*$B$25/2/$C$94</f>
        <v>-4.9598700000000004</v>
      </c>
      <c r="F113" s="46" t="s">
        <v>192</v>
      </c>
    </row>
    <row r="114" ht="12.75">
      <c r="D114" s="3"/>
    </row>
    <row r="115" ht="12.75">
      <c r="D115" s="3"/>
    </row>
    <row r="116" spans="4:6" ht="12.75">
      <c r="D116" s="3"/>
      <c r="E116" s="28">
        <f>$F$56/($B$25*$B$26)-$D$100*$B$26/2/$C$92+$D$104*$B$25/2/$C$94</f>
        <v>-0.08487000000000045</v>
      </c>
      <c r="F116" s="46" t="s">
        <v>192</v>
      </c>
    </row>
    <row r="117" ht="12.75">
      <c r="D117" s="3"/>
    </row>
    <row r="118" ht="12.75"/>
    <row r="119" spans="1:7" ht="12.75">
      <c r="A119" s="7" t="s">
        <v>164</v>
      </c>
      <c r="B119" s="27">
        <f>$F$56/($B$25*$B$26)+IF($D$100&lt;=0,-$D$100*$B$26/2/$C$92,$D$100*$B$26/2/$C$92)+IF($D$104&lt;=0,-$D$104*$B$25/2/$C$94,$D$104*$B$25/2/$C$94)</f>
        <v>20.915129999999998</v>
      </c>
      <c r="C119" s="3" t="s">
        <v>143</v>
      </c>
      <c r="D119" s="25" t="s">
        <v>32</v>
      </c>
      <c r="E119" s="7" t="s">
        <v>193</v>
      </c>
      <c r="F119" s="27">
        <f>$C$33</f>
        <v>12.6</v>
      </c>
      <c r="G119" s="3" t="s">
        <v>143</v>
      </c>
    </row>
    <row r="120" spans="4:7" ht="12.75">
      <c r="D120" s="56" t="str">
        <f>IF(B119&gt;F119,"Se excede la capacidad de carga","")</f>
        <v>Se excede la capacidad de carga</v>
      </c>
      <c r="G120" s="3"/>
    </row>
    <row r="121" ht="12.75">
      <c r="G121" s="3"/>
    </row>
    <row r="122" spans="1:7" ht="12.75">
      <c r="A122" s="7" t="s">
        <v>165</v>
      </c>
      <c r="B122" s="37">
        <f>$F$56/($B$25*$B$26)-IF($D$100&lt;=0,-$D$100*$B$26/2/$C$92,$D$100*$B$26/2/$C$92)-IF($D$104&lt;=0,-$D$104*$B$25/2/$C$94,$D$104*$B$25/2/$C$94)</f>
        <v>-4.9598700000000004</v>
      </c>
      <c r="C122" s="3" t="s">
        <v>143</v>
      </c>
      <c r="D122" s="56" t="str">
        <f>IF(B122&gt;=0,"No hay tensiones","Si hay tensiones")</f>
        <v>Si hay tensiones</v>
      </c>
      <c r="E122" s="49"/>
      <c r="F122" s="22"/>
      <c r="G122" s="3"/>
    </row>
    <row r="123" ht="12.75">
      <c r="K123" s="3"/>
    </row>
    <row r="124" ht="12.75">
      <c r="A124" s="4" t="s">
        <v>173</v>
      </c>
    </row>
    <row r="125" ht="12.75"/>
    <row r="126" ht="12.75"/>
    <row r="127" spans="5:7" ht="12.75">
      <c r="E127" s="7" t="s">
        <v>161</v>
      </c>
      <c r="F127" s="27">
        <f>$F$56/($B$25*$B$26)+IF($D$100&lt;=0,-$D$100*($B$26/2-(D28+B28*0.5)/2)/$C$92,$D$100*($B$26/2-(D27+B28*0.5)/2)/$C$92)-$D$104*$B$25/2/$C$94</f>
        <v>10.79013</v>
      </c>
      <c r="G127" s="3" t="s">
        <v>143</v>
      </c>
    </row>
    <row r="128" spans="1:6" ht="12.75">
      <c r="A128" s="4">
        <v>7</v>
      </c>
      <c r="F128" s="47"/>
    </row>
    <row r="129" ht="12.75">
      <c r="F129" s="47"/>
    </row>
    <row r="130" spans="5:7" ht="12.75">
      <c r="E130" s="7" t="s">
        <v>162</v>
      </c>
      <c r="F130" s="27">
        <f>$F$56/($B$25*$B$26)+IF($D$100&lt;=0,-$D$100*($B$26/2-(D28+B28*0.5)/2)/$C$92,$D$100*($B$26/2-(D27+B28*0.5)/2)/$C$92)+$D$104*$B$25/2/$C$94</f>
        <v>15.66513</v>
      </c>
      <c r="G130" s="3" t="s">
        <v>143</v>
      </c>
    </row>
    <row r="131" ht="12.75">
      <c r="F131" s="47"/>
    </row>
    <row r="132" ht="12.75">
      <c r="F132" s="47"/>
    </row>
    <row r="133" spans="5:7" ht="12.75">
      <c r="E133" s="7" t="s">
        <v>163</v>
      </c>
      <c r="F133" s="27">
        <f>$F$56/($B$25*$B$26)+$D$100*$B$26/2/$C$92+IF($D$104&lt;=0,-$D$104*($B$25/2-(B27*0.5+D25)/2)/$C$94,$D$104*($B$25/2-(B27*0.5+D26)/2)/$C$94)</f>
        <v>19.696379999999998</v>
      </c>
      <c r="G133" s="3" t="s">
        <v>143</v>
      </c>
    </row>
    <row r="134" ht="12.75">
      <c r="F134" s="47"/>
    </row>
    <row r="135" ht="12.75">
      <c r="F135" s="47"/>
    </row>
    <row r="136" spans="5:7" ht="12.75">
      <c r="E136" s="7" t="s">
        <v>160</v>
      </c>
      <c r="F136" s="27">
        <f>$F$56/($B$25*$B$26)-$D$100*$B$26/2/$C$92+IF($D$104&lt;=0,-$D$104*($B$25/2-(B27*0.5+D25)/2)/$C$94,$D$104*($B$25/2-(B27*0.5+D26)/2)/$C$94)</f>
        <v>-1.3036200000000004</v>
      </c>
      <c r="G136" s="3" t="s">
        <v>143</v>
      </c>
    </row>
    <row r="137" ht="12.75"/>
    <row r="138" ht="12.75"/>
    <row r="139" ht="12.75">
      <c r="A139" s="4" t="s">
        <v>33</v>
      </c>
    </row>
    <row r="140" ht="12.75"/>
    <row r="141" spans="1:7" ht="12.75">
      <c r="A141" s="4" t="s">
        <v>34</v>
      </c>
      <c r="C141" s="4" t="s">
        <v>148</v>
      </c>
      <c r="F141" s="21">
        <f>($B$30-$B$29)*$C$34</f>
        <v>1.908</v>
      </c>
      <c r="G141" s="4" t="s">
        <v>37</v>
      </c>
    </row>
    <row r="142" spans="1:7" ht="12.75">
      <c r="A142" s="4" t="s">
        <v>35</v>
      </c>
      <c r="C142" s="4" t="s">
        <v>36</v>
      </c>
      <c r="F142" s="21">
        <f>$B$29*2.4</f>
        <v>0.72</v>
      </c>
      <c r="G142" s="4" t="s">
        <v>37</v>
      </c>
    </row>
    <row r="143" ht="12.75">
      <c r="F143" s="30" t="s">
        <v>159</v>
      </c>
    </row>
    <row r="144" spans="4:7" ht="12.75">
      <c r="D144" s="4" t="s">
        <v>39</v>
      </c>
      <c r="F144" s="12">
        <f>$F$141+$F$142</f>
        <v>2.628</v>
      </c>
      <c r="G144" s="4" t="s">
        <v>37</v>
      </c>
    </row>
    <row r="145" ht="12.75">
      <c r="F145" s="20"/>
    </row>
    <row r="146" ht="12.75">
      <c r="A146" s="50" t="s">
        <v>190</v>
      </c>
    </row>
    <row r="147" ht="12.75">
      <c r="A147" s="4" t="s">
        <v>166</v>
      </c>
    </row>
    <row r="148" spans="2:4" ht="12.75">
      <c r="B148" s="21"/>
      <c r="D148" s="21"/>
    </row>
    <row r="149" spans="1:4" ht="12.75">
      <c r="A149" s="50" t="s">
        <v>179</v>
      </c>
      <c r="B149" s="55">
        <f>IF(D25&lt;(B29-C32/100),F127,-((F127-F130)*(D25-(B29-C32/100))/B25-F127))</f>
        <v>11.521379999999999</v>
      </c>
      <c r="C149" s="50" t="s">
        <v>180</v>
      </c>
      <c r="D149" s="21"/>
    </row>
    <row r="150" spans="1:4" ht="12.75">
      <c r="A150" s="50" t="s">
        <v>181</v>
      </c>
      <c r="B150" s="55">
        <f>-((F127-F130)*D25/B25-F127)</f>
        <v>12.130755</v>
      </c>
      <c r="C150" s="50" t="s">
        <v>180</v>
      </c>
      <c r="D150" s="21"/>
    </row>
    <row r="151" spans="1:4" ht="12.75">
      <c r="A151" s="50" t="s">
        <v>182</v>
      </c>
      <c r="B151" s="55">
        <f>-((F127-F130)*(D25+B27)/B25-F127)</f>
        <v>14.324505</v>
      </c>
      <c r="C151" s="50" t="s">
        <v>180</v>
      </c>
      <c r="D151" s="21"/>
    </row>
    <row r="152" spans="1:4" ht="12.75">
      <c r="A152" s="50" t="s">
        <v>183</v>
      </c>
      <c r="B152" s="55">
        <f>IF(D26&lt;(B29-C32/100),F130,-((F127-F130)*(D25+B27+(B29-C32/100))/B25-F127))</f>
        <v>14.93388</v>
      </c>
      <c r="C152" s="50" t="s">
        <v>180</v>
      </c>
      <c r="D152" s="21"/>
    </row>
    <row r="153" ht="12.75">
      <c r="D153" s="21"/>
    </row>
    <row r="154" spans="1:4" ht="12.75">
      <c r="A154" s="4" t="s">
        <v>178</v>
      </c>
      <c r="B154" s="21"/>
      <c r="D154" s="21"/>
    </row>
    <row r="155" spans="1:6" ht="12.75">
      <c r="A155" s="50" t="s">
        <v>184</v>
      </c>
      <c r="B155" s="62">
        <f>IF($B$150&gt;$B$151,($B$150)*$D$25^2/2+($F$127-$B$150)*$D$25^2/3,($F$127)*$D$25^2/2+($B$150-$F$127)*$D$25^2/6)-$F$144*$D$25^2/2</f>
        <v>1.30211200625</v>
      </c>
      <c r="C155" s="50" t="s">
        <v>14</v>
      </c>
      <c r="F155" s="48"/>
    </row>
    <row r="156" spans="1:6" ht="12.75">
      <c r="A156" s="50" t="s">
        <v>185</v>
      </c>
      <c r="B156" s="55">
        <f>IF($B$150&lt;$B$151,($B$151)*$D$26^2/2+($F$130-$B$151)*$D$26^2/3,($F$130)*$D$26^2/2+($B$151-$F$130)*$D$26^2/6)-$F$144*$D$26^2/2</f>
        <v>1.9042760687500002</v>
      </c>
      <c r="C156" s="50" t="s">
        <v>14</v>
      </c>
      <c r="F156" s="48"/>
    </row>
    <row r="157" ht="12.75">
      <c r="F157" s="48"/>
    </row>
    <row r="158" ht="12.75">
      <c r="A158" s="4" t="s">
        <v>194</v>
      </c>
    </row>
    <row r="159" spans="1:4" ht="12.75">
      <c r="A159" s="50" t="s">
        <v>187</v>
      </c>
      <c r="B159" s="55">
        <f>IF($B$149&gt;$B$152,($B$149-$F$144)*IF(D25&lt;($B$29-$C$32/100),D25,($D$25-($B$29-$C$32/100)))+($F$127-$B$149)*IF(D25&lt;($B$29-$C$32/100),D25,($D$25-($B$29-$C$32/100)))/2,($F$127-$F$144)*IF(D25&lt;($B$29-$C$32/100),D25,($D$25-($B$29-$C$32/100)))+($B$149-$F$127)*IF(D25&lt;($B$29-$C$32/100),D25,($D$25-($B$29-$C$32/100)))/2)</f>
        <v>2.5583264999999997</v>
      </c>
      <c r="C159" s="50" t="s">
        <v>186</v>
      </c>
      <c r="D159" s="53"/>
    </row>
    <row r="160" spans="1:4" ht="12.75">
      <c r="A160" s="50" t="s">
        <v>188</v>
      </c>
      <c r="B160" s="55">
        <f>IF($B$149&lt;$B$152,($B$152-$F$144)*IF(D26&lt;($B$29-$C$32/100),D26,($D$26-($B$29-$C$32/100)))+($F$130-$B$152)*IF(D26&lt;($B$29-$C$32/100),D26,($D$26-($B$29-$C$32/100)))/2,($F$130-$F$144)*IF(D26&lt;($B$29-$C$32/100),D26,($D$26-($B$29-$C$32/100)))+($B$152-$F$130)*IF(D26&lt;($B$29-$C$32/100),D26,($D$26-($B$29-$C$32/100)))/2)</f>
        <v>3.8014515</v>
      </c>
      <c r="C160" s="50" t="s">
        <v>186</v>
      </c>
      <c r="D160" s="53"/>
    </row>
    <row r="161" ht="12.75">
      <c r="D161" s="10"/>
    </row>
    <row r="162" ht="12.75">
      <c r="A162" s="46" t="s">
        <v>189</v>
      </c>
    </row>
    <row r="163" ht="12.75"/>
    <row r="164" spans="1:8" ht="12.75">
      <c r="A164" s="14" t="s">
        <v>40</v>
      </c>
      <c r="B164" s="55">
        <f>IF(ABS(B155)&lt;ABS(B156),(B156),(B155))</f>
        <v>1.9042760687500002</v>
      </c>
      <c r="C164" s="4" t="s">
        <v>14</v>
      </c>
      <c r="D164" s="4" t="s">
        <v>45</v>
      </c>
      <c r="F164" s="7" t="s">
        <v>43</v>
      </c>
      <c r="G164" s="28">
        <f>ABS($B$164*$H$32)</f>
        <v>2.66598649625</v>
      </c>
      <c r="H164" s="4" t="s">
        <v>14</v>
      </c>
    </row>
    <row r="165" spans="1:6" ht="12.75">
      <c r="A165" s="14" t="s">
        <v>41</v>
      </c>
      <c r="B165" s="55">
        <f>IF(ABS(165)&lt;ABS(B160),ABS(B160),ABS(B159))</f>
        <v>2.5583264999999997</v>
      </c>
      <c r="C165" s="4" t="s">
        <v>42</v>
      </c>
      <c r="F165" s="3"/>
    </row>
    <row r="166" spans="4:8" ht="12.75">
      <c r="D166" s="4" t="s">
        <v>46</v>
      </c>
      <c r="F166" s="7" t="s">
        <v>44</v>
      </c>
      <c r="G166" s="28">
        <f>$B$165*$H$32</f>
        <v>3.5816570999999993</v>
      </c>
      <c r="H166" s="4" t="s">
        <v>42</v>
      </c>
    </row>
    <row r="167" ht="12.75">
      <c r="G167" s="47"/>
    </row>
    <row r="168" ht="14.25" customHeight="1">
      <c r="A168" s="31" t="s">
        <v>47</v>
      </c>
    </row>
    <row r="169" spans="3:8" ht="12.75">
      <c r="C169" s="4" t="s">
        <v>48</v>
      </c>
      <c r="E169" s="14" t="s">
        <v>5</v>
      </c>
      <c r="F169" s="12">
        <v>100</v>
      </c>
      <c r="G169" s="4" t="s">
        <v>50</v>
      </c>
      <c r="H169" s="4" t="s">
        <v>129</v>
      </c>
    </row>
    <row r="170" spans="2:7" ht="12.75">
      <c r="B170" s="4" t="s">
        <v>2</v>
      </c>
      <c r="D170" s="4" t="s">
        <v>2</v>
      </c>
      <c r="E170" s="14" t="s">
        <v>49</v>
      </c>
      <c r="F170" s="12">
        <f>$B$29*100-$C$32</f>
        <v>25</v>
      </c>
      <c r="G170" s="4" t="s">
        <v>50</v>
      </c>
    </row>
    <row r="171" spans="5:7" ht="12.75">
      <c r="E171" s="14" t="s">
        <v>6</v>
      </c>
      <c r="F171" s="12">
        <f>$B$29*100</f>
        <v>30</v>
      </c>
      <c r="G171" s="4" t="s">
        <v>50</v>
      </c>
    </row>
    <row r="172" ht="12.75"/>
    <row r="173" spans="7:8" ht="12.75">
      <c r="G173" s="1" t="s">
        <v>139</v>
      </c>
      <c r="H173" s="32">
        <f>($F$40/$H$33)*(1-SQRT(1-(2*$G$164*100000)/(0.9*$F$169*$F$170^2*$F$40)))</f>
        <v>0.0011446448626474671</v>
      </c>
    </row>
    <row r="174" ht="12.75"/>
    <row r="175" spans="4:9" ht="12.75">
      <c r="D175" s="1" t="s">
        <v>150</v>
      </c>
      <c r="E175" s="1" t="s">
        <v>140</v>
      </c>
      <c r="F175" s="13">
        <f>IF(H175&gt;F44,H175,F44)</f>
        <v>0.002635231383473649</v>
      </c>
      <c r="H175" s="43">
        <f>$H$173</f>
        <v>0.0011446448626474671</v>
      </c>
      <c r="I175" s="44"/>
    </row>
    <row r="176" ht="12.75">
      <c r="G176" s="4" t="str">
        <f>IF(F175&gt;$F$49,"Sobrepasa la cantidad de acero máximo"," ")</f>
        <v> </v>
      </c>
    </row>
    <row r="177" spans="2:6" ht="12.75">
      <c r="B177" s="4" t="s">
        <v>130</v>
      </c>
      <c r="D177" s="14" t="s">
        <v>51</v>
      </c>
      <c r="E177" s="16">
        <f>$F$175*$F$169*$F$170</f>
        <v>6.588078458684123</v>
      </c>
      <c r="F177" s="4" t="s">
        <v>131</v>
      </c>
    </row>
    <row r="178" ht="12.75"/>
    <row r="179" spans="2:9" ht="12.75">
      <c r="B179" s="4" t="s">
        <v>52</v>
      </c>
      <c r="E179" s="65">
        <v>5</v>
      </c>
      <c r="G179" s="14" t="s">
        <v>53</v>
      </c>
      <c r="H179" s="16">
        <f>(2.54*E179/8)^2*PI()/4</f>
        <v>1.9793260902246004</v>
      </c>
      <c r="I179" s="4" t="s">
        <v>132</v>
      </c>
    </row>
    <row r="180" ht="12.75"/>
    <row r="181" ht="12.75"/>
    <row r="182" spans="7:9" ht="12.75">
      <c r="G182" s="14" t="s">
        <v>54</v>
      </c>
      <c r="H182" s="33">
        <f>(100*$H$179)/$E$177</f>
        <v>30.04405765106725</v>
      </c>
      <c r="I182" s="4" t="s">
        <v>50</v>
      </c>
    </row>
    <row r="183" spans="7:8" ht="12.75">
      <c r="G183" s="14"/>
      <c r="H183" s="58"/>
    </row>
    <row r="184" ht="12.75"/>
    <row r="185" spans="5:10" ht="12.75">
      <c r="E185" s="34" t="s">
        <v>55</v>
      </c>
      <c r="F185" s="34"/>
      <c r="G185" s="40">
        <v>4</v>
      </c>
      <c r="H185" s="40" t="s">
        <v>56</v>
      </c>
      <c r="I185" s="63">
        <v>20</v>
      </c>
      <c r="J185" s="34" t="s">
        <v>50</v>
      </c>
    </row>
    <row r="186" spans="5:9" s="10" customFormat="1" ht="12.75">
      <c r="E186" s="10">
        <f>IF(B164&lt;0,"El acero de refuerzo es para el lecho superior dado que el momento es negativo","")</f>
      </c>
      <c r="G186" s="20"/>
      <c r="H186" s="20"/>
      <c r="I186" s="35"/>
    </row>
    <row r="187" spans="1:9" s="10" customFormat="1" ht="12.75">
      <c r="A187" s="31" t="s">
        <v>57</v>
      </c>
      <c r="G187" s="20"/>
      <c r="H187" s="20"/>
      <c r="I187" s="35"/>
    </row>
    <row r="188" ht="12.75">
      <c r="E188" s="4" t="s">
        <v>2</v>
      </c>
    </row>
    <row r="189" ht="12.75">
      <c r="E189" s="14" t="s">
        <v>145</v>
      </c>
    </row>
    <row r="190" ht="12.75"/>
    <row r="191" ht="12.75"/>
    <row r="192" spans="5:7" ht="12.75">
      <c r="E192" s="14" t="s">
        <v>51</v>
      </c>
      <c r="F192" s="33">
        <f>$H$179*100/$I$185</f>
        <v>9.896630451123002</v>
      </c>
      <c r="G192" s="4" t="s">
        <v>131</v>
      </c>
    </row>
    <row r="193" ht="12.75"/>
    <row r="194" spans="5:6" ht="12.75">
      <c r="E194" s="1" t="s">
        <v>139</v>
      </c>
      <c r="F194" s="34">
        <f>$F$192/($F$169*$F$170)</f>
        <v>0.003958652180449201</v>
      </c>
    </row>
    <row r="195" ht="12.75"/>
    <row r="196" ht="12.75">
      <c r="C196" s="35"/>
    </row>
    <row r="197" spans="2:6" ht="12.75">
      <c r="B197" s="14" t="s">
        <v>58</v>
      </c>
      <c r="C197" s="36">
        <f>IF(F194&lt;0.015,0.8*$F$169*$F$170*(0.2+20*$F$194)*SQRT($F$38),0.5*0.8*$F$169*$F$170*SQRT($F$38))</f>
        <v>7896.206090416014</v>
      </c>
      <c r="D197" s="4" t="s">
        <v>59</v>
      </c>
      <c r="F197" s="54"/>
    </row>
    <row r="198" spans="2:7" ht="12.75">
      <c r="B198" s="7" t="s">
        <v>58</v>
      </c>
      <c r="C198" s="37">
        <f>$C$197/1000</f>
        <v>7.8962060904160145</v>
      </c>
      <c r="D198" s="4" t="s">
        <v>133</v>
      </c>
      <c r="E198" s="7" t="s">
        <v>44</v>
      </c>
      <c r="F198" s="38">
        <f>$G$166</f>
        <v>3.5816570999999993</v>
      </c>
      <c r="G198" s="56" t="str">
        <f>IF(C198&gt;=F198,"Ok","Sobrepasa al cortante resistente")</f>
        <v>Ok</v>
      </c>
    </row>
    <row r="199" ht="12.75"/>
    <row r="200" ht="12.75">
      <c r="A200" s="50" t="s">
        <v>191</v>
      </c>
    </row>
    <row r="201" ht="12.75">
      <c r="A201" s="4" t="s">
        <v>167</v>
      </c>
    </row>
    <row r="202" ht="12.75"/>
    <row r="203" spans="1:3" ht="12.75">
      <c r="A203" s="50" t="s">
        <v>174</v>
      </c>
      <c r="B203" s="55">
        <f>IF(D27&lt;(B29-C32/100),F133,-((F133-F136)*(D27-(B29-C32/100))/B26-F133))</f>
        <v>16.54638</v>
      </c>
      <c r="C203" s="50" t="s">
        <v>180</v>
      </c>
    </row>
    <row r="204" spans="1:3" ht="12.75">
      <c r="A204" s="50" t="s">
        <v>175</v>
      </c>
      <c r="B204" s="55">
        <f>-((F133-F136)*D27/B26-F133)</f>
        <v>13.921379999999997</v>
      </c>
      <c r="C204" s="50" t="s">
        <v>180</v>
      </c>
    </row>
    <row r="205" spans="1:3" ht="12.75">
      <c r="A205" s="50" t="s">
        <v>176</v>
      </c>
      <c r="B205" s="55">
        <f>-((F133-F136)*(D27+B28)/B26-F133)</f>
        <v>4.471379999999996</v>
      </c>
      <c r="C205" s="50" t="s">
        <v>180</v>
      </c>
    </row>
    <row r="206" spans="1:3" ht="12.75">
      <c r="A206" s="50" t="s">
        <v>177</v>
      </c>
      <c r="B206" s="55">
        <f>IF(D28&lt;(B29-C32/100),F136,-((F133-F136)*(D27+B28+(B29-C32/100))/B26-F133))</f>
        <v>1.8463799999999964</v>
      </c>
      <c r="C206" s="50" t="s">
        <v>180</v>
      </c>
    </row>
    <row r="207" ht="12.75">
      <c r="F207" s="48"/>
    </row>
    <row r="208" spans="1:6" ht="12.75">
      <c r="A208" s="4" t="s">
        <v>178</v>
      </c>
      <c r="F208" s="48"/>
    </row>
    <row r="209" spans="1:3" ht="12.75">
      <c r="A209" s="50" t="s">
        <v>184</v>
      </c>
      <c r="B209" s="52">
        <f>IF(B204&gt;B205,(B204-$F$144)*$D$27^2/2+($F$133-B204)*$D$27^2/3,($F$133-$F$144)*$D$27^2/2+(B204-$F$133)*$D$27^2/6)</f>
        <v>2.290436225</v>
      </c>
      <c r="C209" s="50" t="s">
        <v>14</v>
      </c>
    </row>
    <row r="210" spans="1:3" ht="12.75">
      <c r="A210" s="50" t="s">
        <v>185</v>
      </c>
      <c r="B210" s="52">
        <f>IF(B204&lt;B205,(B205-$F$144)*$D$28^2/2+($F$136-B205)*$D$28^2/3,($F$136-$F$144)*$D$28^2/2+(B205-$F$136)*$D$28^2/6)</f>
        <v>-0.3035012750000001</v>
      </c>
      <c r="C210" s="50" t="s">
        <v>14</v>
      </c>
    </row>
    <row r="211" ht="12.75"/>
    <row r="212" ht="12.75">
      <c r="A212" s="4" t="s">
        <v>195</v>
      </c>
    </row>
    <row r="213" spans="1:3" ht="12.75">
      <c r="A213" s="50" t="s">
        <v>187</v>
      </c>
      <c r="B213" s="55">
        <f>IF(B203&gt;B206,(B203-$F$144)*IF(D27&lt;($B$29-$C$32/100),D27,($D$27-($B$29-$C$32/100)))+($F$133-B203)*IF(D27&lt;($B$29-$C$32/100),D27,($D$27-($B$29-$C$32/100)))/2,($F$133-$F$144)*IF(D27&lt;($B$29-$C$32/100),D27,($D$27-($B$29-$C$32/100)))+(B203-$F$133)*IF(D27&lt;($B$29-$C$32/100),D27,($D$27-($B$29-$C$32/100)))/2)</f>
        <v>4.648014000000001</v>
      </c>
      <c r="C213" s="50" t="s">
        <v>186</v>
      </c>
    </row>
    <row r="214" spans="1:3" ht="12.75">
      <c r="A214" s="50" t="s">
        <v>188</v>
      </c>
      <c r="B214" s="55">
        <f>IF(B203&lt;B206,(B206-$F$144)*IF(D28&lt;($B$29-$C$32/100),D28,($D$28-($B$29-$C$32/100)))+($F$136-B206)*IF(D28&lt;($B$29-$C$32/100),D28,($D$28-($B$29-$C$32/100)))/2,($F$136-$F$144)*IF(D28&lt;($B$29-$C$32/100),D28,($D$28-($B$29-$C$32/100)))+(B206-$F$136)*IF(D28&lt;($B$29-$C$32/100),D28,($D$28-($B$29-$C$32/100)))/2)</f>
        <v>-0.7069860000000003</v>
      </c>
      <c r="C214" s="50" t="s">
        <v>186</v>
      </c>
    </row>
    <row r="215" ht="12.75"/>
    <row r="216" ht="12.75">
      <c r="A216" s="46" t="s">
        <v>189</v>
      </c>
    </row>
    <row r="217" ht="12.75">
      <c r="A217" s="46"/>
    </row>
    <row r="218" spans="1:8" ht="12.75">
      <c r="A218" s="14" t="s">
        <v>40</v>
      </c>
      <c r="B218" s="28">
        <f>IF(ABS(B209)&lt;ABS(B210),(B210),(B209))</f>
        <v>2.290436225</v>
      </c>
      <c r="C218" s="4" t="s">
        <v>14</v>
      </c>
      <c r="D218" s="4" t="s">
        <v>45</v>
      </c>
      <c r="F218" s="7" t="s">
        <v>43</v>
      </c>
      <c r="G218" s="28">
        <f>ABS($B$218*$H$32)</f>
        <v>3.206610715</v>
      </c>
      <c r="H218" s="4" t="s">
        <v>14</v>
      </c>
    </row>
    <row r="219" spans="1:6" ht="12.75">
      <c r="A219" s="14" t="s">
        <v>41</v>
      </c>
      <c r="B219" s="28">
        <f>IF(ABS(B213)&lt;ABS(B214),ABS(B214),ABS(B213))</f>
        <v>4.648014000000001</v>
      </c>
      <c r="C219" s="4" t="s">
        <v>42</v>
      </c>
      <c r="F219" s="3"/>
    </row>
    <row r="220" spans="4:8" ht="12.75">
      <c r="D220" s="4" t="s">
        <v>46</v>
      </c>
      <c r="F220" s="7" t="s">
        <v>44</v>
      </c>
      <c r="G220" s="28">
        <f>$B$219*$H$32</f>
        <v>6.507219600000001</v>
      </c>
      <c r="H220" s="4" t="s">
        <v>42</v>
      </c>
    </row>
    <row r="221" ht="12.75">
      <c r="H221" s="14"/>
    </row>
    <row r="222" ht="12.75">
      <c r="A222" s="31" t="s">
        <v>47</v>
      </c>
    </row>
    <row r="223" spans="3:8" ht="12.75">
      <c r="C223" s="4" t="s">
        <v>48</v>
      </c>
      <c r="E223" s="14" t="s">
        <v>5</v>
      </c>
      <c r="F223" s="12">
        <v>100</v>
      </c>
      <c r="G223" s="4" t="s">
        <v>50</v>
      </c>
      <c r="H223" s="4" t="s">
        <v>129</v>
      </c>
    </row>
    <row r="224" spans="2:7" ht="12.75">
      <c r="B224" s="4" t="s">
        <v>2</v>
      </c>
      <c r="D224" s="4" t="s">
        <v>2</v>
      </c>
      <c r="E224" s="14" t="s">
        <v>49</v>
      </c>
      <c r="F224" s="12">
        <f>$B$29*100-$C$32</f>
        <v>25</v>
      </c>
      <c r="G224" s="4" t="s">
        <v>50</v>
      </c>
    </row>
    <row r="225" spans="5:11" ht="12.75">
      <c r="E225" s="14" t="s">
        <v>6</v>
      </c>
      <c r="F225" s="12">
        <f>$B$29*100</f>
        <v>30</v>
      </c>
      <c r="G225" s="4" t="s">
        <v>50</v>
      </c>
      <c r="H225" s="10"/>
      <c r="I225" s="10"/>
      <c r="J225" s="10"/>
      <c r="K225" s="10"/>
    </row>
    <row r="226" spans="5:6" ht="12.75">
      <c r="E226" s="14"/>
      <c r="F226" s="20"/>
    </row>
    <row r="227" ht="12.75"/>
    <row r="228" spans="7:8" ht="12.75">
      <c r="G228" s="1" t="s">
        <v>139</v>
      </c>
      <c r="H228" s="32">
        <f>($F$40/$H$33)*(1-SQRT(1-(2*$G$218*100000)/(0.9*$F$223*$F$224^2*$F$40)))</f>
        <v>0.0013808494521523281</v>
      </c>
    </row>
    <row r="229" ht="12.75"/>
    <row r="230" spans="4:8" ht="12.75">
      <c r="D230" s="1" t="s">
        <v>150</v>
      </c>
      <c r="E230" s="1" t="s">
        <v>141</v>
      </c>
      <c r="F230" s="13">
        <f>IF(H230&gt;F44,H230,F44)</f>
        <v>0.002635231383473649</v>
      </c>
      <c r="H230" s="43">
        <f>H228</f>
        <v>0.0013808494521523281</v>
      </c>
    </row>
    <row r="231" ht="12.75">
      <c r="G231" s="4" t="str">
        <f>IF(F230&gt;$F$49,"Sobrepasa la cantidad de acero máximo"," ")</f>
        <v> </v>
      </c>
    </row>
    <row r="232" spans="2:6" ht="12.75">
      <c r="B232" s="4" t="s">
        <v>130</v>
      </c>
      <c r="D232" s="14" t="s">
        <v>51</v>
      </c>
      <c r="E232" s="16">
        <f>$F$230*$F$223*$F$224</f>
        <v>6.588078458684123</v>
      </c>
      <c r="F232" s="4" t="s">
        <v>131</v>
      </c>
    </row>
    <row r="233" spans="2:9" ht="12.75">
      <c r="B233" s="4" t="s">
        <v>52</v>
      </c>
      <c r="E233" s="64">
        <v>4</v>
      </c>
      <c r="G233" s="14" t="s">
        <v>53</v>
      </c>
      <c r="H233" s="27">
        <f>(2.54*E233/8)^2*PI()/4</f>
        <v>1.2667686977437442</v>
      </c>
      <c r="I233" s="4" t="s">
        <v>132</v>
      </c>
    </row>
    <row r="234" ht="12.75"/>
    <row r="235" ht="12.75"/>
    <row r="236" spans="7:9" ht="12.75">
      <c r="G236" s="14" t="s">
        <v>54</v>
      </c>
      <c r="H236" s="33">
        <f>(100*$H$233)/$E$232</f>
        <v>19.228196896683038</v>
      </c>
      <c r="I236" s="4" t="s">
        <v>50</v>
      </c>
    </row>
    <row r="237" ht="12.75"/>
    <row r="238" ht="12.75"/>
    <row r="239" spans="5:10" ht="12.75">
      <c r="E239" s="39" t="s">
        <v>55</v>
      </c>
      <c r="F239" s="39"/>
      <c r="G239" s="40">
        <f>$E$233</f>
        <v>4</v>
      </c>
      <c r="H239" s="40" t="s">
        <v>56</v>
      </c>
      <c r="I239" s="63">
        <v>20</v>
      </c>
      <c r="J239" s="39" t="s">
        <v>50</v>
      </c>
    </row>
    <row r="240" spans="1:5" ht="12.75">
      <c r="A240" s="31" t="s">
        <v>57</v>
      </c>
      <c r="E240" s="4">
        <f>IF(B218&lt;0,"El acero de refuerzo es para el lecho superior dado que el momento es negativo","")</f>
      </c>
    </row>
    <row r="241" ht="12.75"/>
    <row r="242" ht="12.75">
      <c r="E242" s="14"/>
    </row>
    <row r="243" ht="12.75">
      <c r="E243" s="14" t="s">
        <v>145</v>
      </c>
    </row>
    <row r="244" ht="12.75"/>
    <row r="245" ht="12.75"/>
    <row r="246" spans="5:7" ht="12.75">
      <c r="E246" s="14" t="s">
        <v>51</v>
      </c>
      <c r="F246" s="33">
        <f>$H$233*100/$I$239</f>
        <v>6.333843488718721</v>
      </c>
      <c r="G246" s="4" t="s">
        <v>131</v>
      </c>
    </row>
    <row r="247" ht="12.75"/>
    <row r="248" spans="5:11" ht="12.75">
      <c r="E248" s="1" t="s">
        <v>146</v>
      </c>
      <c r="F248" s="34">
        <f>$F$246/($F$223*$F$224)</f>
        <v>0.0025335373954874884</v>
      </c>
      <c r="G248" s="10"/>
      <c r="H248" s="10"/>
      <c r="I248" s="10"/>
      <c r="J248" s="10"/>
      <c r="K248" s="10"/>
    </row>
    <row r="249" ht="12.75"/>
    <row r="250" ht="12.75"/>
    <row r="251" spans="2:4" ht="12.75">
      <c r="B251" s="14" t="s">
        <v>58</v>
      </c>
      <c r="C251" s="36">
        <f>IF(F248&lt;0.015,0.8*$F$223*$F$224*(0.2+20*$F$248)*SQRT($F$38),0.5*0.8*$F$223*$F$224*SQRT($F$38))</f>
        <v>7090.039427683507</v>
      </c>
      <c r="D251" s="4" t="s">
        <v>59</v>
      </c>
    </row>
    <row r="252" spans="2:7" ht="12.75">
      <c r="B252" s="7" t="s">
        <v>58</v>
      </c>
      <c r="C252" s="37">
        <f>$C$251/1000</f>
        <v>7.090039427683506</v>
      </c>
      <c r="D252" s="4" t="s">
        <v>60</v>
      </c>
      <c r="E252" s="7" t="s">
        <v>44</v>
      </c>
      <c r="F252" s="38">
        <f>$G$220</f>
        <v>6.507219600000001</v>
      </c>
      <c r="G252" s="56" t="str">
        <f>IF(C252&gt;=F252,"Ok","Sobrepasa al cortante resistente")</f>
        <v>Ok</v>
      </c>
    </row>
    <row r="253" spans="2:7" ht="12.75">
      <c r="B253" s="7"/>
      <c r="C253" s="17"/>
      <c r="D253" s="10"/>
      <c r="E253" s="8"/>
      <c r="F253" s="24"/>
      <c r="G253" s="25"/>
    </row>
    <row r="254" spans="1:7" ht="12.75">
      <c r="A254" s="4" t="s">
        <v>196</v>
      </c>
      <c r="B254" s="7"/>
      <c r="C254" s="17"/>
      <c r="D254" s="10"/>
      <c r="E254" s="8"/>
      <c r="F254" s="24"/>
      <c r="G254" s="25"/>
    </row>
    <row r="255" spans="2:7" ht="4.5" customHeight="1">
      <c r="B255" s="7"/>
      <c r="C255" s="17"/>
      <c r="D255" s="10"/>
      <c r="E255" s="8"/>
      <c r="F255" s="24"/>
      <c r="G255" s="25"/>
    </row>
    <row r="256" spans="1:7" ht="12.75">
      <c r="A256" s="4" t="s">
        <v>198</v>
      </c>
      <c r="B256" s="7"/>
      <c r="C256" s="17"/>
      <c r="D256" s="10"/>
      <c r="E256" s="8"/>
      <c r="F256" s="24"/>
      <c r="G256" s="25"/>
    </row>
    <row r="257" spans="2:7" ht="4.5" customHeight="1">
      <c r="B257" s="7"/>
      <c r="C257" s="17"/>
      <c r="D257" s="10"/>
      <c r="E257" s="8"/>
      <c r="F257" s="24"/>
      <c r="G257" s="25"/>
    </row>
    <row r="258" spans="2:6" ht="12.75">
      <c r="B258" s="4" t="s">
        <v>197</v>
      </c>
      <c r="D258" s="14" t="s">
        <v>51</v>
      </c>
      <c r="E258" s="16">
        <f>0.003*$F$223*$F$224</f>
        <v>7.5</v>
      </c>
      <c r="F258" s="4" t="s">
        <v>131</v>
      </c>
    </row>
    <row r="259" ht="12.75"/>
    <row r="260" spans="2:9" ht="12.75">
      <c r="B260" s="4" t="s">
        <v>52</v>
      </c>
      <c r="E260" s="64">
        <v>5</v>
      </c>
      <c r="G260" s="14" t="s">
        <v>53</v>
      </c>
      <c r="H260" s="27">
        <f>(2.54*E260/8)^2*PI()/4</f>
        <v>1.9793260902246004</v>
      </c>
      <c r="I260" s="4" t="s">
        <v>132</v>
      </c>
    </row>
    <row r="261" ht="12.75"/>
    <row r="262" ht="12.75"/>
    <row r="263" spans="7:9" ht="12.75">
      <c r="G263" s="14" t="s">
        <v>54</v>
      </c>
      <c r="H263" s="33">
        <f>(100*$H$260)/$E$258</f>
        <v>26.391014536328004</v>
      </c>
      <c r="I263" s="4" t="s">
        <v>50</v>
      </c>
    </row>
    <row r="264" ht="12.75"/>
    <row r="265" spans="5:10" ht="12.75">
      <c r="E265" s="39" t="s">
        <v>55</v>
      </c>
      <c r="F265" s="39"/>
      <c r="G265" s="40">
        <v>4</v>
      </c>
      <c r="H265" s="40" t="s">
        <v>56</v>
      </c>
      <c r="I265" s="63">
        <v>20</v>
      </c>
      <c r="J265" s="39" t="s">
        <v>50</v>
      </c>
    </row>
    <row r="266" ht="12.75">
      <c r="A266" s="50" t="s">
        <v>61</v>
      </c>
    </row>
    <row r="267" ht="12.75"/>
    <row r="268" ht="12.75"/>
    <row r="269" ht="12.75"/>
    <row r="270" spans="8:10" ht="12.75">
      <c r="H270" s="14" t="s">
        <v>62</v>
      </c>
      <c r="I270" s="36">
        <f>B27*100</f>
        <v>90</v>
      </c>
      <c r="J270" s="4" t="s">
        <v>50</v>
      </c>
    </row>
    <row r="271" spans="8:10" ht="12.75">
      <c r="H271" s="14" t="s">
        <v>63</v>
      </c>
      <c r="I271" s="36">
        <f>B28*100</f>
        <v>90</v>
      </c>
      <c r="J271" s="4" t="s">
        <v>50</v>
      </c>
    </row>
    <row r="272" ht="12.75">
      <c r="H272" s="14"/>
    </row>
    <row r="273" spans="8:10" ht="12.75">
      <c r="H273" s="14" t="s">
        <v>64</v>
      </c>
      <c r="I273" s="12">
        <f>I270+IF(F224/2&gt;D25*100,D25*100,F224/2)+IF(F224/2&gt;D26*100,D26*100,F224/2)</f>
        <v>115</v>
      </c>
      <c r="J273" s="4" t="s">
        <v>50</v>
      </c>
    </row>
    <row r="274" spans="8:10" ht="12.75">
      <c r="H274" s="14" t="s">
        <v>65</v>
      </c>
      <c r="I274" s="12">
        <f>I271+IF(F224/2&gt;D27*100,D27*100,F224/2)+IF(F224/2&gt;D28*100,D28*100,F224/2)</f>
        <v>115</v>
      </c>
      <c r="J274" s="4" t="s">
        <v>50</v>
      </c>
    </row>
    <row r="275" ht="12.75"/>
    <row r="276" ht="12.75"/>
    <row r="277" ht="12.75"/>
    <row r="278" ht="12.75"/>
    <row r="279" ht="12.75"/>
    <row r="280" ht="12.75">
      <c r="A280" s="4" t="s">
        <v>66</v>
      </c>
    </row>
    <row r="281" ht="12.75"/>
    <row r="282" spans="1:9" ht="12.75">
      <c r="A282" s="4" t="s">
        <v>67</v>
      </c>
      <c r="C282" s="4" t="s">
        <v>70</v>
      </c>
      <c r="H282" s="17">
        <f>$F$55</f>
        <v>21</v>
      </c>
      <c r="I282" s="4" t="s">
        <v>13</v>
      </c>
    </row>
    <row r="283" spans="1:9" ht="12.75">
      <c r="A283" s="4" t="s">
        <v>69</v>
      </c>
      <c r="C283" s="4" t="s">
        <v>149</v>
      </c>
      <c r="H283" s="17">
        <f>(($I$273*$I$274)-($I$270*$I$271))/10000*($B$30-$B$29)*$C$34</f>
        <v>0.9778499999999999</v>
      </c>
      <c r="I283" s="4" t="s">
        <v>13</v>
      </c>
    </row>
    <row r="284" spans="1:9" ht="12.75">
      <c r="A284" s="4" t="s">
        <v>68</v>
      </c>
      <c r="C284" s="4" t="s">
        <v>71</v>
      </c>
      <c r="H284" s="17">
        <f>($I$273*$I$274)/10000*$B$29*2.4</f>
        <v>0.9521999999999999</v>
      </c>
      <c r="I284" s="4" t="s">
        <v>13</v>
      </c>
    </row>
    <row r="285" ht="12.75">
      <c r="H285" s="30" t="s">
        <v>38</v>
      </c>
    </row>
    <row r="286" spans="7:9" ht="12.75">
      <c r="G286" s="14" t="s">
        <v>8</v>
      </c>
      <c r="H286" s="28">
        <f>SUM($H$282:$H$284)</f>
        <v>22.93005</v>
      </c>
      <c r="I286" s="4" t="s">
        <v>13</v>
      </c>
    </row>
    <row r="287" ht="12.75">
      <c r="A287" s="4" t="s">
        <v>72</v>
      </c>
    </row>
    <row r="288" ht="12.75"/>
    <row r="289" spans="1:7" ht="12.75">
      <c r="A289" s="23" t="s">
        <v>73</v>
      </c>
      <c r="E289" s="14" t="s">
        <v>10</v>
      </c>
      <c r="F289" s="41">
        <f>$G$27+$G$28*($B$30-0.5*$B$29)</f>
        <v>14</v>
      </c>
      <c r="G289" s="4" t="s">
        <v>14</v>
      </c>
    </row>
    <row r="290" ht="12.75"/>
    <row r="291" spans="1:7" ht="12.75">
      <c r="A291" s="23" t="s">
        <v>74</v>
      </c>
      <c r="E291" s="14" t="s">
        <v>12</v>
      </c>
      <c r="F291" s="41">
        <f>$G$29+$G$26*($B$30-0.5*$B$29)</f>
        <v>2.625</v>
      </c>
      <c r="G291" s="4" t="s">
        <v>14</v>
      </c>
    </row>
    <row r="292" ht="12.75"/>
    <row r="293" ht="12.75">
      <c r="A293" s="4" t="s">
        <v>75</v>
      </c>
    </row>
    <row r="294" ht="12.75"/>
    <row r="295" ht="12.75">
      <c r="G295" s="4" t="s">
        <v>2</v>
      </c>
    </row>
    <row r="296" ht="12.75"/>
    <row r="297" ht="12.75"/>
    <row r="298" spans="6:7" ht="12.75">
      <c r="F298" s="1" t="s">
        <v>134</v>
      </c>
      <c r="G298" s="16">
        <f>1-(1/(1+0.67*SQRT($I$273/$I$274)))</f>
        <v>0.4011976047904191</v>
      </c>
    </row>
    <row r="299" ht="12.75">
      <c r="G299" s="21"/>
    </row>
    <row r="300" ht="12.75">
      <c r="G300" s="21"/>
    </row>
    <row r="301" ht="12.75">
      <c r="G301" s="21"/>
    </row>
    <row r="302" spans="6:7" ht="12.75">
      <c r="F302" s="1" t="s">
        <v>152</v>
      </c>
      <c r="G302" s="16">
        <f>1-(1/(1+0.67*SQRT($I$274/$I$273)))</f>
        <v>0.4011976047904191</v>
      </c>
    </row>
    <row r="303" ht="12.75"/>
    <row r="304" ht="12.75"/>
    <row r="305" ht="12.75"/>
    <row r="306" spans="6:8" ht="12.75">
      <c r="F306" s="14" t="s">
        <v>76</v>
      </c>
      <c r="G306" s="12">
        <f>2*$F$170*($I$270+$I$271+2*$F$170)</f>
        <v>11500</v>
      </c>
      <c r="H306" s="4" t="s">
        <v>132</v>
      </c>
    </row>
    <row r="307" spans="6:7" ht="12.75">
      <c r="F307" s="14"/>
      <c r="G307" s="20"/>
    </row>
    <row r="308" ht="12.75"/>
    <row r="309" spans="8:10" ht="12.75">
      <c r="H309" s="14" t="s">
        <v>77</v>
      </c>
      <c r="I309" s="42">
        <f>$F$170*$I$274^3/6+$I$274*$F$170^3/6+$F$170*$I$273*$I$274^2/2</f>
        <v>25647395.833333336</v>
      </c>
      <c r="J309" s="4" t="s">
        <v>135</v>
      </c>
    </row>
    <row r="310" ht="12.75"/>
    <row r="311" ht="12.75">
      <c r="H311" s="4" t="s">
        <v>2</v>
      </c>
    </row>
    <row r="312" spans="8:10" ht="12.75">
      <c r="H312" s="14" t="s">
        <v>80</v>
      </c>
      <c r="I312" s="42">
        <f>$F$170*$I$273^3/6+$I$273*$F$170^3/6+$F$170*$I$274*$I$273^2/2</f>
        <v>25647395.833333336</v>
      </c>
      <c r="J312" s="4" t="s">
        <v>135</v>
      </c>
    </row>
    <row r="313" ht="12.75"/>
    <row r="314" ht="12.75">
      <c r="A314" s="4" t="s">
        <v>78</v>
      </c>
    </row>
    <row r="315" spans="4:6" ht="12.75">
      <c r="D315" s="14" t="s">
        <v>79</v>
      </c>
      <c r="E315" s="33">
        <f>($H$286*1000/$G$306)+($G$298*$F$291*100000*$I$274)/(2*$I$312)+($G$302*$F$289*100000*$I$274)/(2*$I$309)</f>
        <v>3.489273246618474</v>
      </c>
      <c r="F315" s="4" t="s">
        <v>100</v>
      </c>
    </row>
    <row r="316" ht="12.75"/>
    <row r="317" spans="1:9" ht="12.75">
      <c r="A317" s="4" t="s">
        <v>81</v>
      </c>
      <c r="E317" s="4" t="s">
        <v>136</v>
      </c>
      <c r="G317" s="14" t="s">
        <v>137</v>
      </c>
      <c r="H317" s="16">
        <f>$E$315*$H$32</f>
        <v>4.8849825452658635</v>
      </c>
      <c r="I317" s="4" t="s">
        <v>100</v>
      </c>
    </row>
    <row r="318" ht="12.75"/>
    <row r="319" ht="12.75">
      <c r="A319" s="4" t="s">
        <v>82</v>
      </c>
    </row>
    <row r="320" ht="12.75"/>
    <row r="321" spans="6:8" ht="12.75">
      <c r="F321" s="14" t="s">
        <v>138</v>
      </c>
      <c r="G321" s="16">
        <f>0.7*SQRT($F$38)</f>
        <v>9.899494936611665</v>
      </c>
      <c r="H321" s="4" t="s">
        <v>100</v>
      </c>
    </row>
    <row r="322" ht="12.75"/>
    <row r="323" spans="2:10" ht="12.75">
      <c r="B323" s="7" t="s">
        <v>153</v>
      </c>
      <c r="C323" s="27">
        <f>0.7*SQRT($F$38)</f>
        <v>9.899494936611665</v>
      </c>
      <c r="D323" s="3" t="s">
        <v>154</v>
      </c>
      <c r="E323" s="25" t="s">
        <v>83</v>
      </c>
      <c r="F323" s="7" t="s">
        <v>155</v>
      </c>
      <c r="G323" s="27">
        <f>$E$315*$H$32</f>
        <v>4.8849825452658635</v>
      </c>
      <c r="H323" s="3" t="s">
        <v>154</v>
      </c>
      <c r="I323" s="56" t="str">
        <f>IF(C323&gt;=G323,"Ok","Sobrepasa al cortante resistente")</f>
        <v>Ok</v>
      </c>
      <c r="J323" s="3"/>
    </row>
    <row r="324" spans="2:10" ht="12.75">
      <c r="B324" s="3"/>
      <c r="C324" s="59"/>
      <c r="D324" s="3"/>
      <c r="E324" s="3"/>
      <c r="F324" s="3"/>
      <c r="G324" s="59"/>
      <c r="H324" s="3"/>
      <c r="I324" s="3">
        <f>IF(I323&lt;&gt;"Ok","Aumenta peralte o calidad de concreto","")</f>
      </c>
      <c r="J324" s="3"/>
    </row>
    <row r="325" ht="12.75">
      <c r="A325" s="4" t="s">
        <v>84</v>
      </c>
    </row>
    <row r="326" ht="12.75"/>
    <row r="327" ht="12.75">
      <c r="A327" s="4" t="s">
        <v>199</v>
      </c>
    </row>
    <row r="328" ht="12.75"/>
    <row r="329" ht="12.75"/>
    <row r="330" ht="12.75"/>
    <row r="331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</sheetData>
  <sheetProtection/>
  <conditionalFormatting sqref="H228 H173">
    <cfRule type="cellIs" priority="1" dxfId="0" operator="lessThanOrEqual" stopIfTrue="1">
      <formula>$F$44</formula>
    </cfRule>
  </conditionalFormatting>
  <printOptions horizontalCentered="1"/>
  <pageMargins left="0.3937007874015748" right="0.5905511811023623" top="0.39" bottom="0.5" header="0.3937007874015748" footer="0.3937007874015748"/>
  <pageSetup horizontalDpi="300" verticalDpi="300" orientation="portrait" scale="91" r:id="rId46"/>
  <rowBreaks count="7" manualBreakCount="7">
    <brk id="49" max="9" man="1"/>
    <brk id="95" max="9" man="1"/>
    <brk id="187" max="9" man="1"/>
    <brk id="239" max="9" man="1"/>
    <brk id="286" max="9" man="1"/>
    <brk id="325" max="9" man="1"/>
    <brk id="345" max="9" man="1"/>
  </rowBreaks>
  <legacyDrawing r:id="rId45"/>
  <oleObjects>
    <oleObject progId="Equation.3" shapeId="167388" r:id="rId2"/>
    <oleObject progId="Equation.3" shapeId="199170" r:id="rId3"/>
    <oleObject progId="Equation.3" shapeId="187440" r:id="rId4"/>
    <oleObject progId="Equation.3" shapeId="197856" r:id="rId5"/>
    <oleObject progId="Equation.3" shapeId="265675" r:id="rId6"/>
    <oleObject progId="Equation.3" shapeId="774173" r:id="rId7"/>
    <oleObject progId="Equation.3" shapeId="83359" r:id="rId8"/>
    <oleObject progId="Equation.3" shapeId="102209" r:id="rId9"/>
    <oleObject progId="Equation.3" shapeId="275505" r:id="rId10"/>
    <oleObject progId="AutoCAD.Drawing.14" shapeId="308503" r:id="rId11"/>
    <oleObject progId="Equation.3" shapeId="599969" r:id="rId12"/>
    <oleObject progId="Equation.3" shapeId="599970" r:id="rId13"/>
    <oleObject progId="Equation.3" shapeId="599971" r:id="rId14"/>
    <oleObject progId="Equation.3" shapeId="599974" r:id="rId15"/>
    <oleObject progId="Equation.3" shapeId="599978" r:id="rId16"/>
    <oleObject progId="Equation.3" shapeId="56264" r:id="rId17"/>
    <oleObject progId="Equation.3" shapeId="85079" r:id="rId18"/>
    <oleObject progId="Equation.3" shapeId="99607" r:id="rId19"/>
    <oleObject progId="Equation.3" shapeId="134034" r:id="rId20"/>
    <oleObject progId="Equation.3" shapeId="194133" r:id="rId21"/>
    <oleObject progId="Equation.3" shapeId="212409" r:id="rId22"/>
    <oleObject progId="Equation.3" shapeId="374522" r:id="rId23"/>
    <oleObject progId="AutoCAD.Drawing.14" shapeId="178222" r:id="rId24"/>
    <oleObject progId="Equation.3" shapeId="42845" r:id="rId25"/>
    <oleObject progId="Equation.3" shapeId="49085" r:id="rId26"/>
    <oleObject progId="Equation.3" shapeId="850794" r:id="rId27"/>
    <oleObject progId="Equation.3" shapeId="898106" r:id="rId28"/>
    <oleObject progId="Equation.3" shapeId="1543600" r:id="rId29"/>
    <oleObject progId="Equation.3" shapeId="428578" r:id="rId30"/>
    <oleObject progId="Equation.3" shapeId="135659" r:id="rId31"/>
    <oleObject progId="Equation.3" shapeId="145835" r:id="rId32"/>
    <oleObject progId="Equation.3" shapeId="154458" r:id="rId33"/>
    <oleObject progId="Equation.3" shapeId="544198" r:id="rId34"/>
    <oleObject progId="Equation.3" shapeId="545680" r:id="rId35"/>
    <oleObject progId="Equation.3" shapeId="395705" r:id="rId36"/>
    <oleObject progId="Equation.3" shapeId="419884" r:id="rId37"/>
    <oleObject progId="Equation.3" shapeId="421475" r:id="rId38"/>
    <oleObject progId="Equation.3" shapeId="424588" r:id="rId39"/>
    <oleObject progId="AutoCAD.Drawing.15" shapeId="556616" r:id="rId40"/>
    <oleObject progId="AutoCAD.Drawing.15" shapeId="716804" r:id="rId41"/>
    <oleObject progId="AutoCAD.Drawing.15" shapeId="833916" r:id="rId42"/>
    <oleObject progId="Equation.3" shapeId="539385" r:id="rId43"/>
    <oleObject progId="AutoCAD.Drawing.15" shapeId="962242" r:id="rId4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LANDA RUIZ</dc:creator>
  <cp:keywords/>
  <dc:description/>
  <cp:lastModifiedBy>Heb MERMA</cp:lastModifiedBy>
  <cp:lastPrinted>2007-08-23T22:03:08Z</cp:lastPrinted>
  <dcterms:created xsi:type="dcterms:W3CDTF">1998-05-05T16:37:30Z</dcterms:created>
  <dcterms:modified xsi:type="dcterms:W3CDTF">2024-04-26T12:46:17Z</dcterms:modified>
  <cp:category/>
  <cp:version/>
  <cp:contentType/>
  <cp:contentStatus/>
</cp:coreProperties>
</file>