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©Heb MERMA ✔\©Heb MERMA\CIMENTACIONES\"/>
    </mc:Choice>
  </mc:AlternateContent>
  <xr:revisionPtr revIDLastSave="0" documentId="13_ncr:1_{92592CB9-CB91-4C6E-BCFB-F6E45BAAD902}" xr6:coauthVersionLast="45" xr6:coauthVersionMax="45" xr10:uidLastSave="{00000000-0000-0000-0000-000000000000}"/>
  <bookViews>
    <workbookView xWindow="-120" yWindow="-120" windowWidth="20730" windowHeight="11760" xr2:uid="{F34CA52B-DCE3-49B4-B708-BBBFE0A00250}"/>
  </bookViews>
  <sheets>
    <sheet name="ZAPATA EXCENTRICA" sheetId="1" r:id="rId1"/>
    <sheet name="base d datos" sheetId="3" r:id="rId2"/>
    <sheet name="base de dato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9" i="2" l="1"/>
  <c r="R150" i="2" s="1"/>
  <c r="R151" i="2" s="1"/>
  <c r="R152" i="2" s="1"/>
  <c r="R153" i="2" s="1"/>
  <c r="R154" i="2" s="1"/>
  <c r="S154" i="2"/>
  <c r="S153" i="2"/>
  <c r="S152" i="2"/>
  <c r="S151" i="2"/>
  <c r="S150" i="2"/>
  <c r="S149" i="2"/>
  <c r="X144" i="2" l="1"/>
  <c r="Z144" i="2" s="1"/>
  <c r="AB144" i="2" s="1"/>
  <c r="V143" i="2"/>
  <c r="X143" i="2" s="1"/>
  <c r="Z143" i="2" s="1"/>
  <c r="AB143" i="2" s="1"/>
  <c r="V144" i="2"/>
  <c r="V145" i="2"/>
  <c r="X145" i="2" s="1"/>
  <c r="Z145" i="2" s="1"/>
  <c r="AB145" i="2" s="1"/>
  <c r="V146" i="2"/>
  <c r="X146" i="2" s="1"/>
  <c r="Z146" i="2" s="1"/>
  <c r="AB146" i="2" s="1"/>
  <c r="T132" i="2"/>
  <c r="V132" i="2" s="1"/>
  <c r="X132" i="2" s="1"/>
  <c r="Z132" i="2" s="1"/>
  <c r="AB132" i="2" s="1"/>
  <c r="T133" i="2"/>
  <c r="V133" i="2" s="1"/>
  <c r="X133" i="2" s="1"/>
  <c r="Z133" i="2" s="1"/>
  <c r="AB133" i="2" s="1"/>
  <c r="T134" i="2"/>
  <c r="V134" i="2" s="1"/>
  <c r="X134" i="2" s="1"/>
  <c r="Z134" i="2" s="1"/>
  <c r="AB134" i="2" s="1"/>
  <c r="T135" i="2"/>
  <c r="V135" i="2" s="1"/>
  <c r="X135" i="2" s="1"/>
  <c r="Z135" i="2" s="1"/>
  <c r="AB135" i="2" s="1"/>
  <c r="T136" i="2"/>
  <c r="V136" i="2" s="1"/>
  <c r="X136" i="2" s="1"/>
  <c r="Z136" i="2" s="1"/>
  <c r="AB136" i="2" s="1"/>
  <c r="T137" i="2"/>
  <c r="V137" i="2" s="1"/>
  <c r="X137" i="2" s="1"/>
  <c r="Z137" i="2" s="1"/>
  <c r="AB137" i="2" s="1"/>
  <c r="T138" i="2"/>
  <c r="V138" i="2" s="1"/>
  <c r="X138" i="2" s="1"/>
  <c r="Z138" i="2" s="1"/>
  <c r="AB138" i="2" s="1"/>
  <c r="T139" i="2"/>
  <c r="V139" i="2" s="1"/>
  <c r="X139" i="2" s="1"/>
  <c r="Z139" i="2" s="1"/>
  <c r="AB139" i="2" s="1"/>
  <c r="T140" i="2"/>
  <c r="V140" i="2" s="1"/>
  <c r="X140" i="2" s="1"/>
  <c r="Z140" i="2" s="1"/>
  <c r="AB140" i="2" s="1"/>
  <c r="T141" i="2"/>
  <c r="V141" i="2" s="1"/>
  <c r="X141" i="2" s="1"/>
  <c r="Z141" i="2" s="1"/>
  <c r="AB141" i="2" s="1"/>
  <c r="T142" i="2"/>
  <c r="V142" i="2" s="1"/>
  <c r="X142" i="2" s="1"/>
  <c r="Z142" i="2" s="1"/>
  <c r="AB142" i="2" s="1"/>
  <c r="T143" i="2"/>
  <c r="T144" i="2"/>
  <c r="T145" i="2"/>
  <c r="T146" i="2"/>
  <c r="T147" i="2"/>
  <c r="V147" i="2" s="1"/>
  <c r="X147" i="2" s="1"/>
  <c r="Z147" i="2" s="1"/>
  <c r="AB147" i="2" s="1"/>
  <c r="T129" i="2" l="1"/>
  <c r="V129" i="2" s="1"/>
  <c r="X129" i="2" s="1"/>
  <c r="Z129" i="2" s="1"/>
  <c r="AB129" i="2" s="1"/>
  <c r="T130" i="2"/>
  <c r="V130" i="2" s="1"/>
  <c r="X130" i="2" s="1"/>
  <c r="Z130" i="2" s="1"/>
  <c r="AB130" i="2" s="1"/>
  <c r="T131" i="2"/>
  <c r="V131" i="2" s="1"/>
  <c r="X131" i="2" s="1"/>
  <c r="Z131" i="2" s="1"/>
  <c r="AB131" i="2" s="1"/>
  <c r="T126" i="2"/>
  <c r="V126" i="2" s="1"/>
  <c r="X126" i="2" s="1"/>
  <c r="Z126" i="2" s="1"/>
  <c r="AB126" i="2" s="1"/>
  <c r="T127" i="2"/>
  <c r="V127" i="2" s="1"/>
  <c r="X127" i="2" s="1"/>
  <c r="Z127" i="2" s="1"/>
  <c r="AB127" i="2" s="1"/>
  <c r="T128" i="2"/>
  <c r="V128" i="2" s="1"/>
  <c r="X128" i="2" s="1"/>
  <c r="Z128" i="2" s="1"/>
  <c r="AB128" i="2" s="1"/>
  <c r="T125" i="2"/>
  <c r="V125" i="2" s="1"/>
  <c r="X125" i="2" s="1"/>
  <c r="Z125" i="2" s="1"/>
  <c r="AB125" i="2" s="1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25" i="2"/>
  <c r="N127" i="2" l="1"/>
  <c r="N129" i="2" s="1"/>
  <c r="N131" i="2" s="1"/>
  <c r="N133" i="2" s="1"/>
  <c r="N135" i="2" s="1"/>
  <c r="N137" i="2" s="1"/>
  <c r="N139" i="2" s="1"/>
  <c r="N141" i="2" s="1"/>
  <c r="N143" i="2" s="1"/>
  <c r="N145" i="2" s="1"/>
  <c r="N147" i="2" s="1"/>
  <c r="N149" i="2" s="1"/>
  <c r="N151" i="2" s="1"/>
  <c r="N153" i="2" s="1"/>
  <c r="N155" i="2" s="1"/>
  <c r="N157" i="2" s="1"/>
  <c r="N159" i="2" s="1"/>
  <c r="N161" i="2" s="1"/>
  <c r="N163" i="2" s="1"/>
  <c r="N165" i="2" s="1"/>
  <c r="N167" i="2" s="1"/>
  <c r="N169" i="2" s="1"/>
  <c r="J127" i="2"/>
  <c r="J129" i="2" s="1"/>
  <c r="J131" i="2" s="1"/>
  <c r="J133" i="2" s="1"/>
  <c r="J135" i="2" s="1"/>
  <c r="J137" i="2" s="1"/>
  <c r="J139" i="2" s="1"/>
  <c r="J141" i="2" s="1"/>
  <c r="J143" i="2" s="1"/>
  <c r="J145" i="2" s="1"/>
  <c r="J147" i="2" s="1"/>
  <c r="J149" i="2" s="1"/>
  <c r="J151" i="2" s="1"/>
  <c r="J153" i="2" s="1"/>
  <c r="J155" i="2" s="1"/>
  <c r="J157" i="2" s="1"/>
  <c r="J159" i="2" s="1"/>
  <c r="J161" i="2" s="1"/>
  <c r="J163" i="2" s="1"/>
  <c r="J165" i="2" s="1"/>
  <c r="J167" i="2" s="1"/>
  <c r="J169" i="2" s="1"/>
  <c r="D162" i="2"/>
  <c r="F192" i="2"/>
  <c r="F189" i="2"/>
  <c r="F186" i="2"/>
  <c r="F183" i="2"/>
  <c r="F180" i="2"/>
  <c r="F177" i="2"/>
  <c r="F174" i="2"/>
  <c r="F171" i="2"/>
  <c r="F168" i="2"/>
  <c r="F165" i="2"/>
  <c r="F162" i="2"/>
  <c r="F159" i="2"/>
  <c r="F156" i="2"/>
  <c r="F153" i="2"/>
  <c r="F150" i="2"/>
  <c r="F147" i="2"/>
  <c r="F144" i="2"/>
  <c r="F141" i="2"/>
  <c r="F138" i="2"/>
  <c r="F135" i="2"/>
  <c r="F132" i="2"/>
  <c r="F129" i="2"/>
  <c r="G128" i="2"/>
  <c r="G131" i="2" s="1"/>
  <c r="G134" i="2" s="1"/>
  <c r="G137" i="2" s="1"/>
  <c r="G140" i="2" s="1"/>
  <c r="G143" i="2" s="1"/>
  <c r="G146" i="2" s="1"/>
  <c r="G149" i="2" s="1"/>
  <c r="G152" i="2" s="1"/>
  <c r="G155" i="2" s="1"/>
  <c r="G158" i="2" s="1"/>
  <c r="G161" i="2" s="1"/>
  <c r="G164" i="2" s="1"/>
  <c r="G167" i="2" s="1"/>
  <c r="G170" i="2" s="1"/>
  <c r="G173" i="2" s="1"/>
  <c r="G176" i="2" s="1"/>
  <c r="G179" i="2" s="1"/>
  <c r="G182" i="2" s="1"/>
  <c r="G185" i="2" s="1"/>
  <c r="G188" i="2" s="1"/>
  <c r="G191" i="2" s="1"/>
  <c r="G123" i="2"/>
  <c r="G126" i="2" s="1"/>
  <c r="G129" i="2" s="1"/>
  <c r="G132" i="2" s="1"/>
  <c r="G135" i="2" s="1"/>
  <c r="G138" i="2" s="1"/>
  <c r="G141" i="2" s="1"/>
  <c r="G144" i="2" s="1"/>
  <c r="G147" i="2" s="1"/>
  <c r="G150" i="2" s="1"/>
  <c r="G153" i="2" s="1"/>
  <c r="G156" i="2" s="1"/>
  <c r="G159" i="2" s="1"/>
  <c r="G162" i="2" s="1"/>
  <c r="G165" i="2" s="1"/>
  <c r="G168" i="2" s="1"/>
  <c r="G171" i="2" s="1"/>
  <c r="G174" i="2" s="1"/>
  <c r="G177" i="2" s="1"/>
  <c r="G180" i="2" s="1"/>
  <c r="G183" i="2" s="1"/>
  <c r="G186" i="2" s="1"/>
  <c r="G189" i="2" s="1"/>
  <c r="G192" i="2" s="1"/>
  <c r="F123" i="2"/>
  <c r="C126" i="2"/>
  <c r="D192" i="2"/>
  <c r="D189" i="2"/>
  <c r="D186" i="2"/>
  <c r="D183" i="2"/>
  <c r="D180" i="2"/>
  <c r="D177" i="2"/>
  <c r="D150" i="2"/>
  <c r="D174" i="2"/>
  <c r="D171" i="2"/>
  <c r="D168" i="2"/>
  <c r="D165" i="2"/>
  <c r="D159" i="2"/>
  <c r="D156" i="2"/>
  <c r="D153" i="2"/>
  <c r="D147" i="2" l="1"/>
  <c r="D144" i="2"/>
  <c r="D141" i="2"/>
  <c r="D138" i="2"/>
  <c r="D135" i="2"/>
  <c r="D132" i="2"/>
  <c r="D129" i="2"/>
  <c r="C129" i="2"/>
  <c r="C132" i="2" s="1"/>
  <c r="C135" i="2" s="1"/>
  <c r="C138" i="2" s="1"/>
  <c r="C141" i="2" s="1"/>
  <c r="C144" i="2" s="1"/>
  <c r="C147" i="2" s="1"/>
  <c r="C150" i="2" s="1"/>
  <c r="C153" i="2" s="1"/>
  <c r="C156" i="2" s="1"/>
  <c r="C159" i="2" s="1"/>
  <c r="C128" i="2"/>
  <c r="C131" i="2" s="1"/>
  <c r="C134" i="2" s="1"/>
  <c r="C137" i="2" s="1"/>
  <c r="C140" i="2" s="1"/>
  <c r="C143" i="2" s="1"/>
  <c r="C146" i="2" s="1"/>
  <c r="C149" i="2" s="1"/>
  <c r="C152" i="2" s="1"/>
  <c r="C155" i="2" s="1"/>
  <c r="C158" i="2" s="1"/>
  <c r="C164" i="2" l="1"/>
  <c r="C167" i="2" s="1"/>
  <c r="C170" i="2" s="1"/>
  <c r="C173" i="2" s="1"/>
  <c r="C176" i="2" s="1"/>
  <c r="C179" i="2" s="1"/>
  <c r="C182" i="2" s="1"/>
  <c r="C185" i="2" s="1"/>
  <c r="C188" i="2" s="1"/>
  <c r="C191" i="2" s="1"/>
  <c r="C161" i="2"/>
  <c r="C165" i="2"/>
  <c r="C168" i="2" s="1"/>
  <c r="C171" i="2" s="1"/>
  <c r="C174" i="2" s="1"/>
  <c r="C177" i="2" s="1"/>
  <c r="C180" i="2" s="1"/>
  <c r="C183" i="2" s="1"/>
  <c r="C186" i="2" s="1"/>
  <c r="C189" i="2" s="1"/>
  <c r="C192" i="2" s="1"/>
  <c r="C162" i="2"/>
  <c r="B1" i="1"/>
  <c r="AG5" i="1" s="1"/>
  <c r="C3" i="1" l="1"/>
  <c r="A89" i="1" s="1"/>
  <c r="C117" i="1" s="1"/>
  <c r="A1" i="2"/>
  <c r="A62" i="1" l="1"/>
  <c r="G59" i="2"/>
  <c r="N174" i="2"/>
  <c r="N172" i="2"/>
  <c r="J172" i="2"/>
  <c r="N175" i="2"/>
  <c r="N171" i="2"/>
  <c r="J171" i="2"/>
  <c r="A42" i="1"/>
  <c r="A124" i="1"/>
  <c r="C152" i="1" s="1"/>
  <c r="J71" i="2"/>
  <c r="I99" i="1"/>
  <c r="A6" i="1"/>
  <c r="D34" i="1" s="1"/>
  <c r="I134" i="1"/>
  <c r="P123" i="2"/>
  <c r="E95" i="2"/>
  <c r="Q41" i="1" l="1"/>
  <c r="P44" i="2"/>
  <c r="M81" i="2"/>
  <c r="C60" i="1" l="1"/>
  <c r="E57" i="1"/>
  <c r="F72" i="1"/>
  <c r="F71" i="1"/>
  <c r="G70" i="1"/>
  <c r="G69" i="1"/>
  <c r="O57" i="1"/>
  <c r="G60" i="1" s="1"/>
  <c r="C57" i="1"/>
  <c r="D52" i="1"/>
  <c r="K48" i="1"/>
  <c r="G48" i="1"/>
  <c r="F49" i="1"/>
  <c r="F48" i="1"/>
  <c r="E48" i="1"/>
  <c r="D48" i="1"/>
  <c r="H46" i="1"/>
  <c r="F46" i="1"/>
  <c r="G47" i="1"/>
  <c r="G46" i="1"/>
  <c r="C46" i="1"/>
  <c r="D64" i="1" l="1"/>
  <c r="E76" i="1" s="1"/>
  <c r="M74" i="1"/>
  <c r="E82" i="1" s="1"/>
  <c r="F69" i="1"/>
  <c r="H69" i="1"/>
  <c r="E71" i="1"/>
  <c r="G71" i="1"/>
  <c r="D77" i="1"/>
  <c r="C85" i="1"/>
  <c r="O82" i="1"/>
  <c r="G85" i="1" s="1"/>
  <c r="C82" i="1"/>
  <c r="K71" i="1"/>
  <c r="C69" i="1"/>
  <c r="D71" i="1"/>
  <c r="F34" i="1"/>
  <c r="D33" i="1"/>
  <c r="K69" i="1" l="1"/>
  <c r="P27" i="1"/>
  <c r="J28" i="1"/>
  <c r="H28" i="1"/>
  <c r="H27" i="1"/>
  <c r="D27" i="1"/>
  <c r="H23" i="1"/>
  <c r="L20" i="1"/>
  <c r="D21" i="1"/>
  <c r="J9" i="1"/>
  <c r="D14" i="1" s="1"/>
  <c r="H9" i="1"/>
  <c r="F9" i="1"/>
  <c r="D9" i="1"/>
  <c r="C9" i="1"/>
  <c r="F143" i="1"/>
  <c r="F142" i="1"/>
  <c r="J140" i="1"/>
  <c r="I139" i="1"/>
  <c r="E136" i="1"/>
  <c r="G126" i="1"/>
  <c r="C126" i="1"/>
  <c r="L154" i="1"/>
  <c r="J154" i="1"/>
  <c r="F154" i="1"/>
  <c r="F152" i="1"/>
  <c r="K151" i="1"/>
  <c r="G157" i="1" s="1"/>
  <c r="I151" i="1"/>
  <c r="D147" i="1"/>
  <c r="H140" i="1"/>
  <c r="E139" i="1"/>
  <c r="C139" i="1"/>
  <c r="G137" i="1"/>
  <c r="I136" i="1"/>
  <c r="K134" i="1"/>
  <c r="G136" i="1" s="1"/>
  <c r="G132" i="1"/>
  <c r="J126" i="1"/>
  <c r="F126" i="1"/>
  <c r="J91" i="1"/>
  <c r="F91" i="1"/>
  <c r="G91" i="1"/>
  <c r="C91" i="1"/>
  <c r="L119" i="1"/>
  <c r="J119" i="1"/>
  <c r="F119" i="1"/>
  <c r="K116" i="1"/>
  <c r="G122" i="1" s="1"/>
  <c r="I116" i="1"/>
  <c r="F117" i="1"/>
  <c r="D112" i="1"/>
  <c r="F108" i="1"/>
  <c r="F107" i="1"/>
  <c r="H105" i="1"/>
  <c r="J105" i="1"/>
  <c r="I104" i="1"/>
  <c r="E104" i="1"/>
  <c r="C104" i="1"/>
  <c r="I101" i="1"/>
  <c r="G102" i="1"/>
  <c r="K99" i="1"/>
  <c r="G101" i="1" s="1"/>
  <c r="K126" i="1" l="1"/>
  <c r="D128" i="1" s="1"/>
  <c r="E101" i="1"/>
  <c r="G97" i="1"/>
  <c r="K91" i="1"/>
  <c r="D93" i="1" s="1"/>
  <c r="O4" i="1" l="1"/>
  <c r="H33" i="1" s="1"/>
  <c r="I57" i="1" l="1"/>
  <c r="I82" i="1"/>
  <c r="F33" i="1"/>
  <c r="D13" i="1"/>
  <c r="F13" i="1" s="1"/>
  <c r="R123" i="2" l="1"/>
  <c r="Q47" i="2"/>
  <c r="R33" i="2"/>
  <c r="R6" i="2"/>
  <c r="R8" i="2" s="1"/>
  <c r="O81" i="2"/>
  <c r="O64" i="2"/>
  <c r="R55" i="2"/>
  <c r="R56" i="2" s="1"/>
  <c r="R46" i="2"/>
  <c r="R47" i="2" s="1"/>
  <c r="Q33" i="2"/>
  <c r="Q5" i="2"/>
  <c r="O54" i="2"/>
  <c r="O53" i="2" s="1"/>
  <c r="O35" i="2"/>
  <c r="O42" i="2" s="1"/>
  <c r="O39" i="2"/>
  <c r="O5" i="2"/>
  <c r="O15" i="2" s="1"/>
  <c r="N5" i="2"/>
  <c r="N12" i="2" s="1"/>
  <c r="N14" i="2" s="1"/>
  <c r="N15" i="2" s="1"/>
  <c r="N17" i="2" s="1"/>
  <c r="N24" i="2" s="1"/>
  <c r="L112" i="2"/>
  <c r="K107" i="2"/>
  <c r="K74" i="2"/>
  <c r="K86" i="2"/>
  <c r="K87" i="2" s="1"/>
  <c r="L66" i="2"/>
  <c r="L107" i="2"/>
  <c r="L108" i="2" s="1"/>
  <c r="L72" i="2"/>
  <c r="L57" i="2"/>
  <c r="K42" i="2"/>
  <c r="K44" i="2" s="1"/>
  <c r="K39" i="2"/>
  <c r="L54" i="2"/>
  <c r="L41" i="2"/>
  <c r="K5" i="2"/>
  <c r="L5" i="2"/>
  <c r="I91" i="2"/>
  <c r="H88" i="2"/>
  <c r="N3" i="2"/>
  <c r="H76" i="2"/>
  <c r="I59" i="2"/>
  <c r="I45" i="2"/>
  <c r="H35" i="2"/>
  <c r="H30" i="2"/>
  <c r="I62" i="2"/>
  <c r="I63" i="2" s="1"/>
  <c r="I57" i="2"/>
  <c r="I51" i="2"/>
  <c r="I42" i="2"/>
  <c r="H33" i="2"/>
  <c r="I5" i="2"/>
  <c r="F49" i="2"/>
  <c r="F50" i="2" s="1"/>
  <c r="F52" i="2" s="1"/>
  <c r="E28" i="2"/>
  <c r="E30" i="2" s="1"/>
  <c r="E3" i="2"/>
  <c r="D25" i="2" s="1"/>
  <c r="E9" i="2"/>
  <c r="F28" i="2" s="1"/>
  <c r="F34" i="2" s="1"/>
  <c r="U155" i="2" s="1"/>
  <c r="E8" i="2"/>
  <c r="F27" i="2" s="1"/>
  <c r="F33" i="2" s="1"/>
  <c r="F8" i="2"/>
  <c r="I3" i="2"/>
  <c r="R68" i="2" s="1"/>
  <c r="R70" i="2" s="1"/>
  <c r="R71" i="2" s="1"/>
  <c r="B17" i="2"/>
  <c r="B18" i="2" s="1"/>
  <c r="B29" i="2" s="1"/>
  <c r="R107" i="2"/>
  <c r="R111" i="2" s="1"/>
  <c r="R110" i="2" s="1"/>
  <c r="R64" i="2"/>
  <c r="R65" i="2" s="1"/>
  <c r="Q49" i="2"/>
  <c r="Q32" i="2"/>
  <c r="R5" i="2"/>
  <c r="N70" i="2"/>
  <c r="N73" i="2" s="1"/>
  <c r="R77" i="2"/>
  <c r="R84" i="2" s="1"/>
  <c r="Q77" i="2"/>
  <c r="Q78" i="2" s="1"/>
  <c r="Q80" i="2" s="1"/>
  <c r="R49" i="2"/>
  <c r="R50" i="2" s="1"/>
  <c r="Q46" i="2"/>
  <c r="Q30" i="2"/>
  <c r="O61" i="2"/>
  <c r="O62" i="2" s="1"/>
  <c r="AA155" i="2" s="1"/>
  <c r="O45" i="2"/>
  <c r="O47" i="2" s="1"/>
  <c r="O41" i="2"/>
  <c r="O36" i="2"/>
  <c r="O38" i="2" s="1"/>
  <c r="O6" i="2"/>
  <c r="O8" i="2" s="1"/>
  <c r="O44" i="2"/>
  <c r="N35" i="2"/>
  <c r="N36" i="2" s="1"/>
  <c r="N38" i="2" s="1"/>
  <c r="K91" i="2"/>
  <c r="L69" i="2"/>
  <c r="L110" i="2"/>
  <c r="K75" i="2"/>
  <c r="K77" i="2" s="1"/>
  <c r="L71" i="2"/>
  <c r="R3" i="2"/>
  <c r="L111" i="2"/>
  <c r="L74" i="2"/>
  <c r="L80" i="2" s="1"/>
  <c r="L63" i="2"/>
  <c r="L51" i="2"/>
  <c r="K41" i="2"/>
  <c r="L60" i="2"/>
  <c r="L48" i="2"/>
  <c r="K36" i="2"/>
  <c r="K38" i="2" s="1"/>
  <c r="L39" i="2"/>
  <c r="L6" i="2"/>
  <c r="L8" i="2" s="1"/>
  <c r="I93" i="2"/>
  <c r="I92" i="2"/>
  <c r="L3" i="2"/>
  <c r="I88" i="2"/>
  <c r="I89" i="2" s="1"/>
  <c r="H63" i="2"/>
  <c r="H65" i="2" s="1"/>
  <c r="I60" i="2"/>
  <c r="H36" i="2"/>
  <c r="H38" i="2" s="1"/>
  <c r="I33" i="2"/>
  <c r="H62" i="2"/>
  <c r="I54" i="2"/>
  <c r="I48" i="2"/>
  <c r="I35" i="2"/>
  <c r="H32" i="2"/>
  <c r="I6" i="2"/>
  <c r="I8" i="2" s="1"/>
  <c r="H5" i="2"/>
  <c r="F38" i="2"/>
  <c r="F39" i="2" s="1"/>
  <c r="F41" i="2" s="1"/>
  <c r="E27" i="2"/>
  <c r="J3" i="2"/>
  <c r="D22" i="2" s="1"/>
  <c r="G3" i="2"/>
  <c r="Q18" i="2" s="1"/>
  <c r="Q20" i="2" s="1"/>
  <c r="Q21" i="2" s="1"/>
  <c r="Q23" i="2" s="1"/>
  <c r="E15" i="2"/>
  <c r="F9" i="2"/>
  <c r="F11" i="2" s="1"/>
  <c r="B21" i="2"/>
  <c r="E20" i="2" s="1"/>
  <c r="C17" i="2"/>
  <c r="H3" i="2"/>
  <c r="C20" i="2" s="1"/>
  <c r="C6" i="2"/>
  <c r="C8" i="2" s="1"/>
  <c r="J36" i="1"/>
  <c r="Q38" i="1" s="1"/>
  <c r="H36" i="1"/>
  <c r="O38" i="1" s="1"/>
  <c r="F20" i="1"/>
  <c r="D20" i="1"/>
  <c r="I69" i="2" l="1"/>
  <c r="W155" i="2"/>
  <c r="R53" i="2"/>
  <c r="AC155" i="2"/>
  <c r="B30" i="2"/>
  <c r="B32" i="2" s="1"/>
  <c r="B33" i="2" s="1"/>
  <c r="B35" i="2" s="1"/>
  <c r="B36" i="2" s="1"/>
  <c r="B38" i="2" s="1"/>
  <c r="B39" i="2" s="1"/>
  <c r="B41" i="2" s="1"/>
  <c r="O55" i="2"/>
  <c r="R58" i="2"/>
  <c r="C21" i="2"/>
  <c r="C23" i="2" s="1"/>
  <c r="C24" i="2" s="1"/>
  <c r="C26" i="2" s="1"/>
  <c r="F17" i="2"/>
  <c r="F25" i="2" s="1"/>
  <c r="Q35" i="2"/>
  <c r="Q36" i="2" s="1"/>
  <c r="Q38" i="2" s="1"/>
  <c r="Q39" i="2" s="1"/>
  <c r="Q41" i="2" s="1"/>
  <c r="Q55" i="2" s="1"/>
  <c r="Q56" i="2" s="1"/>
  <c r="Q61" i="2" s="1"/>
  <c r="Q62" i="2" s="1"/>
  <c r="Q64" i="2" s="1"/>
  <c r="Q65" i="2" s="1"/>
  <c r="Q70" i="2" s="1"/>
  <c r="C18" i="2"/>
  <c r="C27" i="2" s="1"/>
  <c r="F5" i="2"/>
  <c r="B12" i="2"/>
  <c r="B14" i="2" s="1"/>
  <c r="B15" i="2" s="1"/>
  <c r="H12" i="2"/>
  <c r="H14" i="2" s="1"/>
  <c r="H15" i="2" s="1"/>
  <c r="H17" i="2" s="1"/>
  <c r="N71" i="2"/>
  <c r="B44" i="2"/>
  <c r="C45" i="2"/>
  <c r="C47" i="2" s="1"/>
  <c r="C48" i="2" s="1"/>
  <c r="C50" i="2" s="1"/>
  <c r="C51" i="2" s="1"/>
  <c r="C53" i="2" s="1"/>
  <c r="C54" i="2" s="1"/>
  <c r="C56" i="2" s="1"/>
  <c r="R112" i="2"/>
  <c r="R73" i="2"/>
  <c r="R35" i="2"/>
  <c r="R36" i="2" s="1"/>
  <c r="R38" i="2" s="1"/>
  <c r="R39" i="2" s="1"/>
  <c r="R41" i="2" s="1"/>
  <c r="R42" i="2" s="1"/>
  <c r="R44" i="2" s="1"/>
  <c r="E6" i="2"/>
  <c r="F6" i="2"/>
  <c r="F12" i="2" s="1"/>
  <c r="F14" i="2" s="1"/>
  <c r="F15" i="2" s="1"/>
  <c r="C15" i="2"/>
  <c r="F64" i="2"/>
  <c r="F66" i="2" s="1"/>
  <c r="F67" i="2" s="1"/>
  <c r="B23" i="2"/>
  <c r="E24" i="2"/>
  <c r="F19" i="2"/>
  <c r="F20" i="2" s="1"/>
  <c r="F22" i="2" s="1"/>
  <c r="R52" i="2"/>
  <c r="R75" i="2"/>
  <c r="N26" i="2"/>
  <c r="H18" i="2"/>
  <c r="H20" i="2" s="1"/>
  <c r="H21" i="2" s="1"/>
  <c r="H23" i="2" s="1"/>
  <c r="F53" i="2"/>
  <c r="F58" i="2" s="1"/>
  <c r="E19" i="2"/>
  <c r="E22" i="2" s="1"/>
  <c r="E11" i="2"/>
  <c r="E17" i="2" s="1"/>
  <c r="R118" i="2"/>
  <c r="R121" i="2" s="1"/>
  <c r="N33" i="2"/>
  <c r="H77" i="2"/>
  <c r="H79" i="2" s="1"/>
  <c r="H82" i="2" s="1"/>
  <c r="H85" i="2" s="1"/>
  <c r="H86" i="2" s="1"/>
  <c r="I65" i="2"/>
  <c r="H24" i="2"/>
  <c r="H26" i="2" s="1"/>
  <c r="H27" i="2" s="1"/>
  <c r="H29" i="2" s="1"/>
  <c r="Q58" i="2"/>
  <c r="N18" i="2"/>
  <c r="N20" i="2" s="1"/>
  <c r="R67" i="2"/>
  <c r="R115" i="2"/>
  <c r="E14" i="2"/>
  <c r="G76" i="1"/>
  <c r="E79" i="1" s="1"/>
  <c r="Q12" i="2"/>
  <c r="Q14" i="2" s="1"/>
  <c r="Q15" i="2" s="1"/>
  <c r="Q17" i="2" s="1"/>
  <c r="Q24" i="2"/>
  <c r="Q26" i="2" s="1"/>
  <c r="Q27" i="2" s="1"/>
  <c r="Q29" i="2" s="1"/>
  <c r="E25" i="2"/>
  <c r="L75" i="2"/>
  <c r="Y155" i="2" s="1"/>
  <c r="N27" i="2"/>
  <c r="D17" i="2"/>
  <c r="J105" i="2"/>
  <c r="G86" i="2"/>
  <c r="I68" i="2"/>
  <c r="R78" i="2"/>
  <c r="R106" i="2"/>
  <c r="M33" i="2"/>
  <c r="G82" i="2"/>
  <c r="M58" i="2"/>
  <c r="P111" i="2"/>
  <c r="J111" i="2"/>
  <c r="D58" i="2"/>
  <c r="P75" i="2"/>
  <c r="P107" i="2"/>
  <c r="G92" i="2"/>
  <c r="M54" i="2"/>
  <c r="R108" i="2"/>
  <c r="F3" i="2"/>
  <c r="I69" i="1"/>
  <c r="G51" i="1"/>
  <c r="E51" i="1"/>
  <c r="K46" i="1"/>
  <c r="I46" i="1"/>
  <c r="D94" i="1"/>
  <c r="G96" i="1" s="1"/>
  <c r="M20" i="1"/>
  <c r="F23" i="1"/>
  <c r="B3" i="2" s="1"/>
  <c r="L27" i="1"/>
  <c r="Q27" i="1" s="1"/>
  <c r="O20" i="1"/>
  <c r="G93" i="1"/>
  <c r="L140" i="1"/>
  <c r="F145" i="1" s="1"/>
  <c r="Q71" i="2" l="1"/>
  <c r="AB155" i="2"/>
  <c r="M70" i="1"/>
  <c r="E66" i="1"/>
  <c r="E43" i="1"/>
  <c r="AJ2" i="1" s="1"/>
  <c r="M47" i="1"/>
  <c r="Q67" i="2"/>
  <c r="Q75" i="2" s="1"/>
  <c r="C57" i="2"/>
  <c r="E12" i="2"/>
  <c r="F30" i="2" s="1"/>
  <c r="F36" i="2" s="1"/>
  <c r="Q42" i="2"/>
  <c r="Q44" i="2" s="1"/>
  <c r="C44" i="2"/>
  <c r="B20" i="2"/>
  <c r="B42" i="2" s="1"/>
  <c r="C29" i="2"/>
  <c r="C30" i="2" s="1"/>
  <c r="C32" i="2" s="1"/>
  <c r="C39" i="2" s="1"/>
  <c r="C41" i="2" s="1"/>
  <c r="C42" i="2"/>
  <c r="B45" i="2"/>
  <c r="B47" i="2" s="1"/>
  <c r="B48" i="2" s="1"/>
  <c r="B50" i="2" s="1"/>
  <c r="B51" i="2" s="1"/>
  <c r="B53" i="2" s="1"/>
  <c r="B54" i="2" s="1"/>
  <c r="B56" i="2" s="1"/>
  <c r="B57" i="2" s="1"/>
  <c r="E49" i="2"/>
  <c r="F55" i="2"/>
  <c r="F56" i="2" s="1"/>
  <c r="I74" i="2"/>
  <c r="I66" i="2"/>
  <c r="B24" i="2"/>
  <c r="B26" i="2" s="1"/>
  <c r="B27" i="2" s="1"/>
  <c r="Q59" i="2"/>
  <c r="Q74" i="2"/>
  <c r="Q68" i="2"/>
  <c r="N29" i="2"/>
  <c r="N30" i="2" s="1"/>
  <c r="N21" i="2"/>
  <c r="N23" i="2" s="1"/>
  <c r="N32" i="2" s="1"/>
  <c r="D96" i="1"/>
  <c r="I96" i="1" s="1"/>
  <c r="K104" i="1" s="1"/>
  <c r="K3" i="2"/>
  <c r="G41" i="2" s="1"/>
  <c r="D36" i="2"/>
  <c r="G74" i="2" s="1"/>
  <c r="G83" i="2" s="1"/>
  <c r="M79" i="2"/>
  <c r="P73" i="2"/>
  <c r="N79" i="2"/>
  <c r="N81" i="2" s="1"/>
  <c r="N54" i="2"/>
  <c r="Q111" i="2"/>
  <c r="H6" i="2"/>
  <c r="H8" i="2" s="1"/>
  <c r="H9" i="2" s="1"/>
  <c r="H11" i="2" s="1"/>
  <c r="Q50" i="2"/>
  <c r="Q52" i="2" s="1"/>
  <c r="Q53" i="2" s="1"/>
  <c r="N74" i="2"/>
  <c r="N76" i="2" s="1"/>
  <c r="N77" i="2" s="1"/>
  <c r="N6" i="2"/>
  <c r="N8" i="2" s="1"/>
  <c r="N9" i="2" s="1"/>
  <c r="N11" i="2" s="1"/>
  <c r="N39" i="2"/>
  <c r="N41" i="2" s="1"/>
  <c r="N42" i="2" s="1"/>
  <c r="H39" i="2"/>
  <c r="E31" i="2"/>
  <c r="Q73" i="2"/>
  <c r="Q6" i="2"/>
  <c r="Q8" i="2" s="1"/>
  <c r="Q9" i="2" s="1"/>
  <c r="Q11" i="2" s="1"/>
  <c r="N44" i="2"/>
  <c r="N51" i="2" s="1"/>
  <c r="Q107" i="2"/>
  <c r="B6" i="2"/>
  <c r="B8" i="2" s="1"/>
  <c r="B9" i="2" s="1"/>
  <c r="B11" i="2" s="1"/>
  <c r="Q81" i="2"/>
  <c r="Q83" i="2" s="1"/>
  <c r="Q84" i="2" s="1"/>
  <c r="N61" i="2"/>
  <c r="N45" i="2"/>
  <c r="N47" i="2" s="1"/>
  <c r="N48" i="2" s="1"/>
  <c r="N50" i="2" s="1"/>
  <c r="N58" i="2" s="1"/>
  <c r="Q123" i="2"/>
  <c r="H80" i="2"/>
  <c r="L77" i="2"/>
  <c r="L81" i="2"/>
  <c r="F31" i="2"/>
  <c r="K82" i="1"/>
  <c r="C66" i="1"/>
  <c r="D3" i="2"/>
  <c r="G82" i="1"/>
  <c r="AM4" i="1"/>
  <c r="R80" i="2"/>
  <c r="R81" i="2" s="1"/>
  <c r="R83" i="2" s="1"/>
  <c r="R114" i="2"/>
  <c r="C79" i="1"/>
  <c r="M32" i="2"/>
  <c r="J100" i="2"/>
  <c r="I71" i="1"/>
  <c r="C80" i="1"/>
  <c r="C76" i="1"/>
  <c r="I147" i="1"/>
  <c r="C55" i="1"/>
  <c r="G147" i="1"/>
  <c r="E54" i="1"/>
  <c r="C54" i="1"/>
  <c r="AM2" i="1"/>
  <c r="C51" i="1"/>
  <c r="I48" i="1"/>
  <c r="J47" i="1"/>
  <c r="C43" i="1"/>
  <c r="C44" i="1"/>
  <c r="C67" i="1" s="1"/>
  <c r="J70" i="1" s="1"/>
  <c r="C136" i="1"/>
  <c r="J136" i="1" s="1"/>
  <c r="H145" i="1" s="1"/>
  <c r="C101" i="1"/>
  <c r="J101" i="1" s="1"/>
  <c r="N105" i="1" s="1"/>
  <c r="I112" i="1"/>
  <c r="D154" i="1"/>
  <c r="I23" i="1"/>
  <c r="C3" i="2" s="1"/>
  <c r="D129" i="1"/>
  <c r="J27" i="1"/>
  <c r="F27" i="1"/>
  <c r="L105" i="1"/>
  <c r="F110" i="1" s="1"/>
  <c r="I171" i="2" l="1"/>
  <c r="I174" i="2"/>
  <c r="J174" i="2"/>
  <c r="L171" i="2"/>
  <c r="L174" i="2"/>
  <c r="K174" i="2"/>
  <c r="C36" i="2"/>
  <c r="C38" i="2" s="1"/>
  <c r="C33" i="2"/>
  <c r="C35" i="2" s="1"/>
  <c r="K147" i="1"/>
  <c r="AZ3" i="1" s="1"/>
  <c r="E55" i="2"/>
  <c r="E60" i="2"/>
  <c r="E50" i="2"/>
  <c r="M80" i="2"/>
  <c r="J89" i="2"/>
  <c r="J102" i="2" s="1"/>
  <c r="O9" i="2"/>
  <c r="O11" i="2" s="1"/>
  <c r="O12" i="2" s="1"/>
  <c r="O14" i="2" s="1"/>
  <c r="O26" i="2"/>
  <c r="K6" i="2"/>
  <c r="K8" i="2" s="1"/>
  <c r="K9" i="2" s="1"/>
  <c r="K11" i="2" s="1"/>
  <c r="K98" i="2"/>
  <c r="O48" i="2"/>
  <c r="O50" i="2" s="1"/>
  <c r="O51" i="2" s="1"/>
  <c r="O58" i="2"/>
  <c r="O80" i="2"/>
  <c r="K18" i="2"/>
  <c r="K20" i="2" s="1"/>
  <c r="K21" i="2" s="1"/>
  <c r="K23" i="2" s="1"/>
  <c r="O65" i="2"/>
  <c r="O67" i="2" s="1"/>
  <c r="O68" i="2" s="1"/>
  <c r="O70" i="2"/>
  <c r="K24" i="2"/>
  <c r="K26" i="2" s="1"/>
  <c r="K27" i="2" s="1"/>
  <c r="K29" i="2" s="1"/>
  <c r="K45" i="2"/>
  <c r="K47" i="2" s="1"/>
  <c r="I83" i="1"/>
  <c r="K12" i="2"/>
  <c r="K14" i="2" s="1"/>
  <c r="K15" i="2" s="1"/>
  <c r="K17" i="2" s="1"/>
  <c r="K32" i="2"/>
  <c r="K33" i="2" s="1"/>
  <c r="K35" i="2" s="1"/>
  <c r="L78" i="2"/>
  <c r="L89" i="2"/>
  <c r="H92" i="2"/>
  <c r="H93" i="2"/>
  <c r="H71" i="2"/>
  <c r="H72" i="2" s="1"/>
  <c r="V155" i="2" s="1"/>
  <c r="H91" i="2"/>
  <c r="H89" i="2"/>
  <c r="H83" i="2"/>
  <c r="N59" i="2"/>
  <c r="N57" i="2"/>
  <c r="Q115" i="2"/>
  <c r="Q106" i="2"/>
  <c r="Q108" i="2"/>
  <c r="E38" i="2"/>
  <c r="E34" i="2"/>
  <c r="E33" i="2"/>
  <c r="E36" i="2"/>
  <c r="N53" i="2"/>
  <c r="N55" i="2"/>
  <c r="K30" i="2"/>
  <c r="O17" i="2"/>
  <c r="O18" i="2" s="1"/>
  <c r="O20" i="2" s="1"/>
  <c r="O33" i="2" s="1"/>
  <c r="P74" i="2"/>
  <c r="D47" i="2"/>
  <c r="R59" i="2"/>
  <c r="R61" i="2" s="1"/>
  <c r="R62" i="2" s="1"/>
  <c r="L83" i="2"/>
  <c r="F69" i="2"/>
  <c r="C9" i="2"/>
  <c r="C11" i="2" s="1"/>
  <c r="C12" i="2" s="1"/>
  <c r="C14" i="2" s="1"/>
  <c r="L94" i="2"/>
  <c r="I36" i="2"/>
  <c r="I38" i="2" s="1"/>
  <c r="I39" i="2" s="1"/>
  <c r="I41" i="2" s="1"/>
  <c r="I44" i="2" s="1"/>
  <c r="I47" i="2" s="1"/>
  <c r="I50" i="2" s="1"/>
  <c r="I53" i="2" s="1"/>
  <c r="I56" i="2" s="1"/>
  <c r="I9" i="2"/>
  <c r="I11" i="2" s="1"/>
  <c r="I12" i="2" s="1"/>
  <c r="I14" i="2" s="1"/>
  <c r="I15" i="2" s="1"/>
  <c r="F42" i="2"/>
  <c r="R74" i="2"/>
  <c r="L42" i="2"/>
  <c r="L44" i="2" s="1"/>
  <c r="L45" i="2" s="1"/>
  <c r="L47" i="2" s="1"/>
  <c r="L50" i="2" s="1"/>
  <c r="L53" i="2" s="1"/>
  <c r="L56" i="2" s="1"/>
  <c r="L59" i="2" s="1"/>
  <c r="L62" i="2" s="1"/>
  <c r="L65" i="2" s="1"/>
  <c r="L68" i="2" s="1"/>
  <c r="I76" i="2"/>
  <c r="F60" i="2"/>
  <c r="F61" i="2" s="1"/>
  <c r="F63" i="2" s="1"/>
  <c r="F24" i="2"/>
  <c r="R9" i="2"/>
  <c r="R11" i="2" s="1"/>
  <c r="R12" i="2" s="1"/>
  <c r="R14" i="2" s="1"/>
  <c r="R15" i="2" s="1"/>
  <c r="R17" i="2" s="1"/>
  <c r="R18" i="2" s="1"/>
  <c r="R20" i="2" s="1"/>
  <c r="L9" i="2"/>
  <c r="L11" i="2" s="1"/>
  <c r="L12" i="2" s="1"/>
  <c r="L14" i="2" s="1"/>
  <c r="D69" i="2"/>
  <c r="N64" i="2"/>
  <c r="N65" i="2" s="1"/>
  <c r="N67" i="2"/>
  <c r="N62" i="2"/>
  <c r="H41" i="2"/>
  <c r="H56" i="2"/>
  <c r="H57" i="2" s="1"/>
  <c r="Q112" i="2"/>
  <c r="Q110" i="2"/>
  <c r="Q118" i="2"/>
  <c r="Q121" i="2" s="1"/>
  <c r="J85" i="1"/>
  <c r="D85" i="1"/>
  <c r="AL5" i="1" s="1"/>
  <c r="H48" i="1"/>
  <c r="H71" i="1"/>
  <c r="N140" i="1"/>
  <c r="G57" i="1"/>
  <c r="K57" i="1"/>
  <c r="AL3" i="1" s="1"/>
  <c r="I58" i="1"/>
  <c r="H110" i="1"/>
  <c r="G112" i="1"/>
  <c r="K112" i="1" s="1"/>
  <c r="P104" i="1"/>
  <c r="C107" i="1" s="1"/>
  <c r="H107" i="1" s="1"/>
  <c r="C110" i="1" s="1"/>
  <c r="J110" i="1" s="1"/>
  <c r="D119" i="1"/>
  <c r="G128" i="1"/>
  <c r="G131" i="1"/>
  <c r="N68" i="2" l="1"/>
  <c r="N80" i="2" s="1"/>
  <c r="Z155" i="2"/>
  <c r="I178" i="2"/>
  <c r="J198" i="2"/>
  <c r="J196" i="2"/>
  <c r="J181" i="2"/>
  <c r="J199" i="2"/>
  <c r="J191" i="2"/>
  <c r="J183" i="2"/>
  <c r="K198" i="2"/>
  <c r="K190" i="2"/>
  <c r="K182" i="2"/>
  <c r="J186" i="2"/>
  <c r="K201" i="2"/>
  <c r="K193" i="2"/>
  <c r="K185" i="2"/>
  <c r="J197" i="2"/>
  <c r="J189" i="2"/>
  <c r="K181" i="2"/>
  <c r="K196" i="2"/>
  <c r="K188" i="2"/>
  <c r="J192" i="2"/>
  <c r="J184" i="2"/>
  <c r="K199" i="2"/>
  <c r="K191" i="2"/>
  <c r="K183" i="2"/>
  <c r="J194" i="2"/>
  <c r="J202" i="2"/>
  <c r="J200" i="2"/>
  <c r="J203" i="2"/>
  <c r="J195" i="2"/>
  <c r="J187" i="2"/>
  <c r="K202" i="2"/>
  <c r="K194" i="2"/>
  <c r="K186" i="2"/>
  <c r="J190" i="2"/>
  <c r="J182" i="2"/>
  <c r="K197" i="2"/>
  <c r="K189" i="2"/>
  <c r="J201" i="2"/>
  <c r="J193" i="2"/>
  <c r="J185" i="2"/>
  <c r="K200" i="2"/>
  <c r="K192" i="2"/>
  <c r="K184" i="2"/>
  <c r="J188" i="2"/>
  <c r="K203" i="2"/>
  <c r="K195" i="2"/>
  <c r="K187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N181" i="2"/>
  <c r="K178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O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P181" i="2"/>
  <c r="M177" i="2" s="1"/>
  <c r="N177" i="2" s="1"/>
  <c r="M178" i="2"/>
  <c r="E61" i="2"/>
  <c r="E66" i="2"/>
  <c r="E52" i="2"/>
  <c r="E53" i="2" s="1"/>
  <c r="E58" i="2" s="1"/>
  <c r="E56" i="2"/>
  <c r="O21" i="2"/>
  <c r="O23" i="2" s="1"/>
  <c r="O24" i="2" s="1"/>
  <c r="J101" i="2"/>
  <c r="K95" i="2" s="1"/>
  <c r="K97" i="2" s="1"/>
  <c r="K101" i="2" s="1"/>
  <c r="D131" i="1"/>
  <c r="I131" i="1" s="1"/>
  <c r="K139" i="1" s="1"/>
  <c r="P139" i="1" s="1"/>
  <c r="C142" i="1" s="1"/>
  <c r="H142" i="1" s="1"/>
  <c r="C145" i="1" s="1"/>
  <c r="J145" i="1" s="1"/>
  <c r="N147" i="1" s="1"/>
  <c r="P3" i="2"/>
  <c r="J47" i="2" s="1"/>
  <c r="L33" i="2"/>
  <c r="L35" i="2" s="1"/>
  <c r="L36" i="2" s="1"/>
  <c r="L38" i="2" s="1"/>
  <c r="L15" i="2"/>
  <c r="L17" i="2" s="1"/>
  <c r="L18" i="2" s="1"/>
  <c r="L20" i="2" s="1"/>
  <c r="I77" i="2"/>
  <c r="I79" i="2" s="1"/>
  <c r="I80" i="2" s="1"/>
  <c r="I82" i="2" s="1"/>
  <c r="I83" i="2" s="1"/>
  <c r="I71" i="2"/>
  <c r="I72" i="2"/>
  <c r="I86" i="2"/>
  <c r="I17" i="2"/>
  <c r="I18" i="2" s="1"/>
  <c r="I20" i="2" s="1"/>
  <c r="I85" i="2"/>
  <c r="L95" i="2"/>
  <c r="L97" i="2" s="1"/>
  <c r="L98" i="2" s="1"/>
  <c r="L100" i="2" s="1"/>
  <c r="L101" i="2" s="1"/>
  <c r="L102" i="2" s="1"/>
  <c r="L91" i="2"/>
  <c r="L92" i="2" s="1"/>
  <c r="E39" i="2"/>
  <c r="E44" i="2"/>
  <c r="H50" i="2"/>
  <c r="H51" i="2" s="1"/>
  <c r="H42" i="2"/>
  <c r="H66" i="2"/>
  <c r="H68" i="2" s="1"/>
  <c r="H69" i="2" s="1"/>
  <c r="H74" i="2" s="1"/>
  <c r="H53" i="2"/>
  <c r="H54" i="2" s="1"/>
  <c r="R24" i="2"/>
  <c r="R26" i="2" s="1"/>
  <c r="R27" i="2" s="1"/>
  <c r="R29" i="2" s="1"/>
  <c r="R30" i="2" s="1"/>
  <c r="R32" i="2" s="1"/>
  <c r="R21" i="2"/>
  <c r="R23" i="2" s="1"/>
  <c r="F47" i="2"/>
  <c r="F44" i="2"/>
  <c r="F45" i="2" s="1"/>
  <c r="L86" i="2"/>
  <c r="L87" i="2" s="1"/>
  <c r="L84" i="2"/>
  <c r="K56" i="2"/>
  <c r="K57" i="2" s="1"/>
  <c r="K68" i="2"/>
  <c r="K78" i="2"/>
  <c r="K80" i="2" s="1"/>
  <c r="K81" i="2" s="1"/>
  <c r="K59" i="2"/>
  <c r="K60" i="2" s="1"/>
  <c r="K62" i="2"/>
  <c r="K63" i="2" s="1"/>
  <c r="K48" i="2"/>
  <c r="K65" i="2"/>
  <c r="O76" i="2"/>
  <c r="O71" i="2"/>
  <c r="O77" i="2" s="1"/>
  <c r="O73" i="2"/>
  <c r="O57" i="2"/>
  <c r="O59" i="2"/>
  <c r="K110" i="2"/>
  <c r="K108" i="2"/>
  <c r="K112" i="2"/>
  <c r="K111" i="2"/>
  <c r="O32" i="2"/>
  <c r="O27" i="2"/>
  <c r="J60" i="1"/>
  <c r="D60" i="1"/>
  <c r="N112" i="1"/>
  <c r="I177" i="2" l="1"/>
  <c r="J177" i="2" s="1"/>
  <c r="I179" i="2"/>
  <c r="J179" i="2" s="1"/>
  <c r="K179" i="2"/>
  <c r="L179" i="2" s="1"/>
  <c r="K177" i="2"/>
  <c r="L177" i="2" s="1"/>
  <c r="M179" i="2"/>
  <c r="N179" i="2" s="1"/>
  <c r="K94" i="2"/>
  <c r="K100" i="2" s="1"/>
  <c r="K104" i="2" s="1"/>
  <c r="K105" i="2" s="1"/>
  <c r="K92" i="2"/>
  <c r="D149" i="1"/>
  <c r="F151" i="1" s="1"/>
  <c r="J151" i="1" s="1"/>
  <c r="H154" i="1" s="1"/>
  <c r="BC3" i="1"/>
  <c r="D114" i="1"/>
  <c r="AV3" i="1"/>
  <c r="E67" i="2"/>
  <c r="T155" i="2" s="1"/>
  <c r="E63" i="2"/>
  <c r="E64" i="2" s="1"/>
  <c r="E69" i="2" s="1"/>
  <c r="K102" i="2"/>
  <c r="O30" i="2"/>
  <c r="O29" i="2"/>
  <c r="O79" i="2"/>
  <c r="O74" i="2"/>
  <c r="K50" i="2"/>
  <c r="K51" i="2" s="1"/>
  <c r="K69" i="2" s="1"/>
  <c r="K53" i="2"/>
  <c r="K71" i="2"/>
  <c r="K72" i="2" s="1"/>
  <c r="H47" i="2"/>
  <c r="H48" i="2" s="1"/>
  <c r="H44" i="2"/>
  <c r="H45" i="2" s="1"/>
  <c r="H59" i="2"/>
  <c r="H60" i="2" s="1"/>
  <c r="L105" i="2"/>
  <c r="L104" i="2"/>
  <c r="L21" i="2"/>
  <c r="L23" i="2" s="1"/>
  <c r="L24" i="2"/>
  <c r="L26" i="2" s="1"/>
  <c r="L27" i="2" s="1"/>
  <c r="L29" i="2" s="1"/>
  <c r="L30" i="2" s="1"/>
  <c r="L32" i="2" s="1"/>
  <c r="K83" i="2"/>
  <c r="K84" i="2" s="1"/>
  <c r="X155" i="2" s="1"/>
  <c r="K89" i="2"/>
  <c r="E41" i="2"/>
  <c r="E42" i="2" s="1"/>
  <c r="E47" i="2" s="1"/>
  <c r="E45" i="2"/>
  <c r="I21" i="2"/>
  <c r="I23" i="2" s="1"/>
  <c r="I24" i="2"/>
  <c r="I26" i="2" s="1"/>
  <c r="I27" i="2" s="1"/>
  <c r="I29" i="2" s="1"/>
  <c r="I30" i="2" s="1"/>
  <c r="I32" i="2" s="1"/>
  <c r="J180" i="2" l="1"/>
  <c r="J176" i="2" s="1"/>
  <c r="K171" i="2" s="1"/>
  <c r="K172" i="2" s="1"/>
  <c r="L180" i="2"/>
  <c r="L176" i="2" s="1"/>
  <c r="M171" i="2" s="1"/>
  <c r="M172" i="2" s="1"/>
  <c r="N180" i="2"/>
  <c r="N176" i="2" s="1"/>
  <c r="M174" i="2" s="1"/>
  <c r="M175" i="2" s="1"/>
  <c r="F155" i="1"/>
  <c r="M154" i="1" s="1"/>
  <c r="I157" i="1" s="1"/>
  <c r="S3" i="2" s="1"/>
  <c r="F157" i="1"/>
  <c r="Q3" i="2" s="1"/>
  <c r="P85" i="2" s="1"/>
  <c r="P98" i="2" s="1"/>
  <c r="AZ5" i="1"/>
  <c r="BC5" i="1" s="1"/>
  <c r="F116" i="1"/>
  <c r="AS3" i="1"/>
  <c r="K66" i="2"/>
  <c r="K54" i="2"/>
  <c r="P102" i="2" l="1"/>
  <c r="Q102" i="2" s="1"/>
  <c r="P92" i="2"/>
  <c r="Q92" i="2" s="1"/>
  <c r="Q120" i="2" s="1"/>
  <c r="P86" i="2"/>
  <c r="Q86" i="2" s="1"/>
  <c r="P100" i="2"/>
  <c r="P94" i="2"/>
  <c r="Q94" i="2" s="1"/>
  <c r="P88" i="2"/>
  <c r="Q88" i="2" s="1"/>
  <c r="P96" i="2"/>
  <c r="P104" i="2"/>
  <c r="R104" i="2" s="1"/>
  <c r="P90" i="2"/>
  <c r="Q90" i="2" s="1"/>
  <c r="Q117" i="2" s="1"/>
  <c r="P110" i="2"/>
  <c r="J110" i="2"/>
  <c r="M57" i="2"/>
  <c r="J116" i="1"/>
  <c r="AS5" i="1" s="1"/>
  <c r="AV5" i="1" s="1"/>
  <c r="P112" i="2"/>
  <c r="M59" i="2"/>
  <c r="J112" i="2"/>
  <c r="Q96" i="2"/>
  <c r="Q104" i="2"/>
  <c r="Q114" i="2" s="1"/>
  <c r="Q98" i="2"/>
  <c r="R86" i="2" l="1"/>
  <c r="R88" i="2" s="1"/>
  <c r="R90" i="2" s="1"/>
  <c r="R117" i="2" s="1"/>
  <c r="Q100" i="2"/>
  <c r="F120" i="1"/>
  <c r="H119" i="1"/>
  <c r="F122" i="1"/>
  <c r="M3" i="2" s="1"/>
  <c r="R92" i="2" l="1"/>
  <c r="R120" i="2" s="1"/>
  <c r="M119" i="1"/>
  <c r="I122" i="1" s="1"/>
  <c r="O3" i="2" s="1"/>
  <c r="P106" i="2"/>
  <c r="G91" i="2"/>
  <c r="M53" i="2"/>
  <c r="R94" i="2" l="1"/>
  <c r="R96" i="2" s="1"/>
  <c r="R98" i="2" s="1"/>
  <c r="R100" i="2" s="1"/>
  <c r="R102" i="2" s="1"/>
  <c r="G93" i="2"/>
  <c r="P108" i="2"/>
  <c r="M55" i="2"/>
</calcChain>
</file>

<file path=xl/sharedStrings.xml><?xml version="1.0" encoding="utf-8"?>
<sst xmlns="http://schemas.openxmlformats.org/spreadsheetml/2006/main" count="163" uniqueCount="103">
  <si>
    <t>f´c =</t>
  </si>
  <si>
    <t>fy =</t>
  </si>
  <si>
    <t>PD =</t>
  </si>
  <si>
    <t>PL =</t>
  </si>
  <si>
    <t>PS =</t>
  </si>
  <si>
    <t>σt =</t>
  </si>
  <si>
    <t>Df =</t>
  </si>
  <si>
    <t>Ɣmat =</t>
  </si>
  <si>
    <t>S/C =</t>
  </si>
  <si>
    <t>Ko =</t>
  </si>
  <si>
    <t>m</t>
  </si>
  <si>
    <t>tn/m3</t>
  </si>
  <si>
    <t>tn</t>
  </si>
  <si>
    <t>σn =</t>
  </si>
  <si>
    <t>Az =</t>
  </si>
  <si>
    <t>Dimensionamiento en planta de la zapata</t>
  </si>
  <si>
    <t>Sección:</t>
  </si>
  <si>
    <t>T =</t>
  </si>
  <si>
    <t>Altura de la zapata</t>
  </si>
  <si>
    <t>B x T</t>
  </si>
  <si>
    <t>hz =</t>
  </si>
  <si>
    <t>Ag =</t>
  </si>
  <si>
    <t>sección cuadrado =</t>
  </si>
  <si>
    <t>D =</t>
  </si>
  <si>
    <t>S =</t>
  </si>
  <si>
    <t>h =</t>
  </si>
  <si>
    <t>ρ =</t>
  </si>
  <si>
    <t>e =</t>
  </si>
  <si>
    <t>ε =</t>
  </si>
  <si>
    <t>T2 =</t>
  </si>
  <si>
    <t>5. Diseño de la zapata</t>
  </si>
  <si>
    <t>Pu =</t>
  </si>
  <si>
    <r>
      <t>M</t>
    </r>
    <r>
      <rPr>
        <b/>
        <i/>
        <sz val="8"/>
        <color theme="1"/>
        <rFont val="Calibri"/>
        <family val="2"/>
        <scheme val="minor"/>
      </rPr>
      <t>U</t>
    </r>
    <r>
      <rPr>
        <b/>
        <i/>
        <sz val="11"/>
        <color theme="1"/>
        <rFont val="Calibri"/>
        <family val="2"/>
        <scheme val="minor"/>
      </rPr>
      <t xml:space="preserve"> =</t>
    </r>
  </si>
  <si>
    <t>Peralte efectivo</t>
  </si>
  <si>
    <t>d =</t>
  </si>
  <si>
    <t>ØP =</t>
  </si>
  <si>
    <t>Ø pulg</t>
  </si>
  <si>
    <t>As cm²</t>
  </si>
  <si>
    <t>Ø 1/4"</t>
  </si>
  <si>
    <t>Ø 3/8"</t>
  </si>
  <si>
    <t>Ø 1/2"</t>
  </si>
  <si>
    <t>Ø 5/8"</t>
  </si>
  <si>
    <t>Ø 3/4"</t>
  </si>
  <si>
    <t>Ø 1"</t>
  </si>
  <si>
    <t>Ø 1 1/8"</t>
  </si>
  <si>
    <t>Ø 1 1/4"</t>
  </si>
  <si>
    <t>Ø 1 3/8"</t>
  </si>
  <si>
    <t>Ø cm</t>
  </si>
  <si>
    <t>w =</t>
  </si>
  <si>
    <r>
      <rPr>
        <b/>
        <i/>
        <sz val="11"/>
        <color theme="1"/>
        <rFont val="Calibri"/>
        <family val="2"/>
      </rPr>
      <t>ρ</t>
    </r>
    <r>
      <rPr>
        <b/>
        <i/>
        <sz val="11"/>
        <color theme="1"/>
        <rFont val="Calibri"/>
        <family val="2"/>
        <scheme val="minor"/>
      </rPr>
      <t xml:space="preserve"> =</t>
    </r>
  </si>
  <si>
    <t>As =</t>
  </si>
  <si>
    <r>
      <t>As</t>
    </r>
    <r>
      <rPr>
        <b/>
        <sz val="8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=</t>
    </r>
  </si>
  <si>
    <r>
      <t>∴A</t>
    </r>
    <r>
      <rPr>
        <b/>
        <sz val="8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</t>
    </r>
  </si>
  <si>
    <t># de barras =</t>
  </si>
  <si>
    <r>
      <t>S</t>
    </r>
    <r>
      <rPr>
        <b/>
        <i/>
        <sz val="10"/>
        <color theme="1"/>
        <rFont val="Calibri"/>
        <family val="2"/>
        <scheme val="minor"/>
      </rPr>
      <t xml:space="preserve">req </t>
    </r>
    <r>
      <rPr>
        <b/>
        <sz val="11"/>
        <color theme="1"/>
        <rFont val="Calibri"/>
        <family val="2"/>
        <scheme val="minor"/>
      </rPr>
      <t>=</t>
    </r>
  </si>
  <si>
    <t>→ Usaremos: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</si>
  <si>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la dirección de la excentricidad</t>
    </r>
  </si>
  <si>
    <r>
      <t>W</t>
    </r>
    <r>
      <rPr>
        <b/>
        <i/>
        <sz val="8"/>
        <color theme="1"/>
        <rFont val="Calibri"/>
        <family val="2"/>
        <scheme val="minor"/>
      </rPr>
      <t>NU</t>
    </r>
    <r>
      <rPr>
        <b/>
        <i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</si>
  <si>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En la dirección transversal</t>
    </r>
  </si>
  <si>
    <t>6. Disposición de la armadura</t>
  </si>
  <si>
    <t>1. Capacidad portante</t>
  </si>
  <si>
    <t>2. Area de la zapata</t>
  </si>
  <si>
    <r>
      <t xml:space="preserve">B = </t>
    </r>
    <r>
      <rPr>
        <sz val="11"/>
        <color theme="1"/>
        <rFont val="Calibri"/>
        <family val="2"/>
      </rPr>
      <t>√</t>
    </r>
  </si>
  <si>
    <t>3. Dimensionamiento de la columna</t>
  </si>
  <si>
    <r>
      <t>kg/cm</t>
    </r>
    <r>
      <rPr>
        <sz val="11"/>
        <color theme="0"/>
        <rFont val="Calibri"/>
        <family val="2"/>
      </rPr>
      <t>²</t>
    </r>
  </si>
  <si>
    <t>kg/cm²</t>
  </si>
  <si>
    <t>kg/m²</t>
  </si>
  <si>
    <r>
      <rPr>
        <b/>
        <sz val="11"/>
        <color theme="1"/>
        <rFont val="Calibri"/>
        <family val="2"/>
        <scheme val="minor"/>
      </rPr>
      <t>Az</t>
    </r>
    <r>
      <rPr>
        <sz val="11"/>
        <color theme="1"/>
        <rFont val="Calibri"/>
        <family val="2"/>
        <scheme val="minor"/>
      </rPr>
      <t xml:space="preserve"> = B x T =</t>
    </r>
  </si>
  <si>
    <t>transformando a sección rectangular tenemos:</t>
  </si>
  <si>
    <t>4. Diferencia de esfuerzos "D" debajo de la zapata</t>
  </si>
  <si>
    <t>Ø =</t>
  </si>
  <si>
    <t>Reduciendo "D", entonces incrementamos dimensión de la columna.</t>
  </si>
  <si>
    <t>En el grafico de presiones tenemos,     Ø =</t>
  </si>
  <si>
    <t>Za</t>
  </si>
  <si>
    <t>h</t>
  </si>
  <si>
    <t>Col</t>
  </si>
  <si>
    <t>hz</t>
  </si>
  <si>
    <t>Bz</t>
  </si>
  <si>
    <t>Tz</t>
  </si>
  <si>
    <t>Df</t>
  </si>
  <si>
    <t>s/c</t>
  </si>
  <si>
    <t>PS</t>
  </si>
  <si>
    <t>DATOS:</t>
  </si>
  <si>
    <t>Pu</t>
  </si>
  <si>
    <t>Øexc</t>
  </si>
  <si>
    <t>Øtran</t>
  </si>
  <si>
    <t>PLANTA</t>
  </si>
  <si>
    <t>ELEVACIÓN</t>
  </si>
  <si>
    <t>N.F.P</t>
  </si>
  <si>
    <t>Determinación de presiones.</t>
  </si>
  <si>
    <t>∴AD =</t>
  </si>
  <si>
    <t>∴AØ =</t>
  </si>
  <si>
    <t>Ø Transversal</t>
  </si>
  <si>
    <t>Ø Excentricidad</t>
  </si>
  <si>
    <t>sρ</t>
  </si>
  <si>
    <t>x</t>
  </si>
  <si>
    <t>x =</t>
  </si>
  <si>
    <t>s =</t>
  </si>
  <si>
    <t>s</t>
  </si>
  <si>
    <t>ρ</t>
  </si>
  <si>
    <t>s*ρ</t>
  </si>
  <si>
    <t>hebmerma.com</t>
  </si>
  <si>
    <r>
      <rPr>
        <b/>
        <i/>
        <sz val="11"/>
        <color theme="0"/>
        <rFont val="Calibri"/>
        <family val="2"/>
        <scheme val="minor"/>
      </rPr>
      <t>W</t>
    </r>
    <r>
      <rPr>
        <b/>
        <sz val="11"/>
        <color theme="0"/>
        <rFont val="Calibri"/>
        <family val="2"/>
        <scheme val="minor"/>
      </rPr>
      <t>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</si>
</sst>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164" formatCode="0.000"/>
    <numFmt numFmtId="165" formatCode="General\ &quot;cm&quot;"/>
    <numFmt numFmtId="166" formatCode="General\ &quot;x&quot;"/>
    <numFmt numFmtId="167" formatCode="0.00\ &quot;m&quot;"/>
    <numFmt numFmtId="168" formatCode="&quot;&gt;&quot;\ General"/>
    <numFmt numFmtId="169" formatCode="General\ &quot;*&quot;"/>
    <numFmt numFmtId="170" formatCode="0.00&quot;²&quot;"/>
    <numFmt numFmtId="171" formatCode="&quot;=&quot;\ General\ &quot;tn.m&quot;"/>
    <numFmt numFmtId="172" formatCode="&quot;(&quot;\ General\ &quot;+&quot;"/>
    <numFmt numFmtId="173" formatCode="General\ \ &quot;-&quot;"/>
    <numFmt numFmtId="174" formatCode="_ * #,##0.00_ ;_ * \-#,##0.00_ ;_ * &quot;-&quot;??_ ;_ @_ "/>
    <numFmt numFmtId="175" formatCode="General&quot;²&quot;"/>
    <numFmt numFmtId="176" formatCode="General\ &quot;- 1&quot;"/>
    <numFmt numFmtId="177" formatCode="General&quot;)&quot;"/>
    <numFmt numFmtId="178" formatCode="&quot;√&quot;\ General\ &quot;-&quot;"/>
    <numFmt numFmtId="179" formatCode="General&quot; -&quot;"/>
    <numFmt numFmtId="180" formatCode="&quot;*&quot;\ General"/>
    <numFmt numFmtId="181" formatCode="&quot;=&quot;\ 0.000"/>
    <numFmt numFmtId="182" formatCode="&quot;=&quot;\ 0.0000"/>
    <numFmt numFmtId="183" formatCode="0.0000\ &quot;*&quot;"/>
    <numFmt numFmtId="184" formatCode="&quot;=&quot;\ General\ &quot;cm²&quot;"/>
    <numFmt numFmtId="185" formatCode="&quot;*&quot;\ General\ &quot;=&quot;"/>
    <numFmt numFmtId="186" formatCode="General\ &quot;cm²&quot;"/>
    <numFmt numFmtId="187" formatCode="General&quot; - (&quot;"/>
    <numFmt numFmtId="188" formatCode="General\ &quot;* 2&quot;"/>
    <numFmt numFmtId="189" formatCode="&quot;+&quot;\ General\ &quot;(&quot;"/>
    <numFmt numFmtId="190" formatCode="&quot;@&quot;General&quot;m&quot;"/>
    <numFmt numFmtId="191" formatCode="&quot;1.7(&quot;0.00&quot;)&quot;"/>
    <numFmt numFmtId="192" formatCode="&quot;1.4(&quot;0.00&quot;)&quot;"/>
    <numFmt numFmtId="193" formatCode="0.00\ &quot;tn&quot;"/>
    <numFmt numFmtId="194" formatCode="&quot;=&quot;\ 0.00\ &quot;tn/m&quot;"/>
    <numFmt numFmtId="195" formatCode="0.000\ &quot;*&quot;"/>
    <numFmt numFmtId="196" formatCode="&quot;-&quot;\ 0.00"/>
    <numFmt numFmtId="197" formatCode="&quot;*&quot;\ 0.00"/>
    <numFmt numFmtId="198" formatCode="&quot;=&quot;\ 0.00\ &quot;tn/m²&quot;"/>
    <numFmt numFmtId="199" formatCode="&quot;=&quot;\ 0.00\ &quot;m²&quot;"/>
    <numFmt numFmtId="200" formatCode="&quot;=&quot;\ 0.00\ &quot;m&quot;"/>
    <numFmt numFmtId="201" formatCode="0.00&quot;m&quot;"/>
    <numFmt numFmtId="202" formatCode="0.00\ &quot;(&quot;"/>
    <numFmt numFmtId="203" formatCode="&quot;√&quot;\ General"/>
    <numFmt numFmtId="204" formatCode="&quot;) =&quot;\ 0.00\ &quot;cm&quot;"/>
    <numFmt numFmtId="205" formatCode="&quot;hz =&quot;\ General\ &quot;cm&quot;"/>
    <numFmt numFmtId="206" formatCode="&quot;=&quot;\ 0.00"/>
    <numFmt numFmtId="207" formatCode="General&quot;³&quot;"/>
    <numFmt numFmtId="208" formatCode="&quot;*&quot;\ General&quot;³&quot;"/>
    <numFmt numFmtId="209" formatCode="0.00\ &quot;*&quot;"/>
    <numFmt numFmtId="210" formatCode="&quot;&gt;&quot;\ General\ &quot;tn/m²&quot;"/>
    <numFmt numFmtId="211" formatCode="0.00\ &quot;tn/m²&quot;"/>
    <numFmt numFmtId="212" formatCode="0.00&quot;³&quot;"/>
    <numFmt numFmtId="213" formatCode="&quot;&lt;&quot;\ General\ &quot;tn/m²&quot;"/>
    <numFmt numFmtId="214" formatCode="&quot;s/c =&quot;\ General\ &quot;kg/m²&quot;"/>
    <numFmt numFmtId="215" formatCode="&quot;PS =&quot;\ General\ &quot;tn&quot;"/>
    <numFmt numFmtId="216" formatCode="&quot;Df=&quot;\ 0.00&quot;m&quot;"/>
    <numFmt numFmtId="217" formatCode="&quot;Lc=&quot;\ 0.00&quot;m&quot;"/>
    <numFmt numFmtId="218" formatCode="&quot;Wnu=&quot;\ General\ &quot;tn/m&quot;"/>
    <numFmt numFmtId="219" formatCode="&quot;T=&quot;\ 0.00&quot;m&quot;"/>
    <numFmt numFmtId="220" formatCode="&quot;a=&quot;\ 0.00&quot;m&quot;"/>
    <numFmt numFmtId="221" formatCode="&quot;Pu=&quot;\ 0.00&quot;tn&quot;"/>
    <numFmt numFmtId="222" formatCode="&quot;@&quot;General"/>
    <numFmt numFmtId="223" formatCode="&quot;b=&quot;\ 0.00&quot;m&quot;"/>
    <numFmt numFmtId="224" formatCode="&quot;T=&quot;\ 0.00\ &quot;m&quot;"/>
    <numFmt numFmtId="225" formatCode="0.00\ &quot;cm²&quot;"/>
    <numFmt numFmtId="226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FFFF00"/>
      <name val="Calibri"/>
      <family val="2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u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61E9FB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ashDot">
        <color rgb="FFFFFF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4" fontId="4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93">
    <xf numFmtId="0" fontId="0" fillId="0" borderId="0" xfId="0"/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20" fillId="3" borderId="0" xfId="0" applyFont="1" applyFill="1" applyProtection="1">
      <protection hidden="1"/>
    </xf>
    <xf numFmtId="0" fontId="20" fillId="3" borderId="0" xfId="0" applyFont="1" applyFill="1" applyAlignment="1" applyProtection="1">
      <alignment horizontal="right"/>
      <protection hidden="1"/>
    </xf>
    <xf numFmtId="0" fontId="25" fillId="3" borderId="0" xfId="0" applyFont="1" applyFill="1" applyProtection="1">
      <protection hidden="1"/>
    </xf>
    <xf numFmtId="0" fontId="26" fillId="3" borderId="8" xfId="0" applyFont="1" applyFill="1" applyBorder="1" applyProtection="1">
      <protection hidden="1"/>
    </xf>
    <xf numFmtId="0" fontId="24" fillId="3" borderId="0" xfId="0" applyFont="1" applyFill="1" applyProtection="1">
      <protection hidden="1"/>
    </xf>
    <xf numFmtId="0" fontId="23" fillId="3" borderId="0" xfId="0" applyFont="1" applyFill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2" fillId="3" borderId="0" xfId="0" applyFont="1" applyFill="1" applyAlignment="1" applyProtection="1">
      <alignment horizontal="right"/>
      <protection hidden="1"/>
    </xf>
    <xf numFmtId="0" fontId="20" fillId="3" borderId="8" xfId="0" applyFont="1" applyFill="1" applyBorder="1" applyProtection="1">
      <protection hidden="1"/>
    </xf>
    <xf numFmtId="0" fontId="26" fillId="3" borderId="0" xfId="0" applyFont="1" applyFill="1" applyProtection="1">
      <protection hidden="1"/>
    </xf>
    <xf numFmtId="0" fontId="27" fillId="3" borderId="0" xfId="0" applyFont="1" applyFill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9" xfId="0" applyFont="1" applyBorder="1" applyProtection="1"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167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0" fontId="11" fillId="0" borderId="5" xfId="0" applyFont="1" applyBorder="1" applyProtection="1">
      <protection hidden="1"/>
    </xf>
    <xf numFmtId="0" fontId="30" fillId="3" borderId="0" xfId="2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183" fontId="0" fillId="0" borderId="0" xfId="0" applyNumberFormat="1" applyFont="1" applyAlignment="1" applyProtection="1">
      <protection hidden="1"/>
    </xf>
    <xf numFmtId="0" fontId="31" fillId="3" borderId="0" xfId="0" applyFont="1" applyFill="1" applyAlignment="1" applyProtection="1">
      <alignment shrinkToFit="1"/>
      <protection hidden="1"/>
    </xf>
    <xf numFmtId="0" fontId="20" fillId="0" borderId="0" xfId="0" applyFont="1" applyFill="1" applyProtection="1">
      <protection hidden="1"/>
    </xf>
    <xf numFmtId="0" fontId="31" fillId="3" borderId="0" xfId="0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225" fontId="27" fillId="3" borderId="0" xfId="0" applyNumberFormat="1" applyFont="1" applyFill="1" applyAlignment="1" applyProtection="1">
      <alignment horizontal="center" shrinkToFit="1"/>
      <protection hidden="1"/>
    </xf>
    <xf numFmtId="0" fontId="28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167" fontId="20" fillId="3" borderId="0" xfId="0" applyNumberFormat="1" applyFont="1" applyFill="1" applyAlignment="1" applyProtection="1">
      <alignment horizontal="center" shrinkToFit="1"/>
      <protection locked="0"/>
    </xf>
    <xf numFmtId="0" fontId="27" fillId="3" borderId="0" xfId="0" applyFont="1" applyFill="1" applyAlignment="1" applyProtection="1">
      <alignment horizontal="center"/>
      <protection hidden="1"/>
    </xf>
    <xf numFmtId="2" fontId="27" fillId="3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08" fontId="0" fillId="0" borderId="2" xfId="0" applyNumberFormat="1" applyBorder="1" applyAlignment="1" applyProtection="1">
      <alignment horizontal="center" vertical="center" shrinkToFit="1"/>
      <protection hidden="1"/>
    </xf>
    <xf numFmtId="208" fontId="0" fillId="0" borderId="0" xfId="0" applyNumberFormat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81" fontId="0" fillId="0" borderId="0" xfId="0" applyNumberFormat="1" applyAlignment="1" applyProtection="1">
      <alignment horizontal="left" vertic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96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179" fontId="0" fillId="0" borderId="0" xfId="0" applyNumberFormat="1" applyAlignment="1" applyProtection="1">
      <alignment horizontal="center" vertical="center"/>
      <protection hidden="1"/>
    </xf>
    <xf numFmtId="210" fontId="0" fillId="0" borderId="0" xfId="0" applyNumberFormat="1" applyAlignment="1" applyProtection="1">
      <alignment horizontal="left" vertical="center"/>
      <protection hidden="1"/>
    </xf>
    <xf numFmtId="210" fontId="5" fillId="0" borderId="0" xfId="0" applyNumberFormat="1" applyFont="1" applyAlignment="1" applyProtection="1">
      <alignment horizontal="left" shrinkToFit="1"/>
      <protection hidden="1"/>
    </xf>
    <xf numFmtId="0" fontId="0" fillId="0" borderId="1" xfId="0" applyBorder="1" applyAlignment="1" applyProtection="1">
      <alignment horizontal="center"/>
      <protection hidden="1"/>
    </xf>
    <xf numFmtId="200" fontId="0" fillId="0" borderId="0" xfId="0" applyNumberForma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69" fontId="0" fillId="0" borderId="6" xfId="0" applyNumberFormat="1" applyBorder="1" applyAlignment="1" applyProtection="1">
      <alignment horizontal="right"/>
      <protection hidden="1"/>
    </xf>
    <xf numFmtId="169" fontId="0" fillId="0" borderId="0" xfId="0" applyNumberFormat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6" xfId="0" applyNumberFormat="1" applyBorder="1" applyAlignment="1" applyProtection="1">
      <alignment horizontal="left" shrinkToFit="1"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4" borderId="3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/>
      <protection hidden="1"/>
    </xf>
    <xf numFmtId="182" fontId="0" fillId="0" borderId="0" xfId="0" applyNumberFormat="1" applyAlignment="1" applyProtection="1">
      <alignment horizontal="left" vertic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 horizontal="right"/>
      <protection hidden="1"/>
    </xf>
    <xf numFmtId="165" fontId="0" fillId="0" borderId="0" xfId="0" applyNumberFormat="1" applyFill="1" applyAlignment="1" applyProtection="1">
      <alignment horizontal="left"/>
      <protection hidden="1"/>
    </xf>
    <xf numFmtId="166" fontId="1" fillId="0" borderId="0" xfId="0" applyNumberFormat="1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06" fontId="0" fillId="0" borderId="0" xfId="0" applyNumberFormat="1" applyAlignment="1" applyProtection="1">
      <alignment horizontal="left" vertical="center"/>
      <protection hidden="1"/>
    </xf>
    <xf numFmtId="170" fontId="0" fillId="0" borderId="1" xfId="0" applyNumberFormat="1" applyBorder="1" applyAlignment="1" applyProtection="1">
      <alignment horizontal="center"/>
      <protection hidden="1"/>
    </xf>
    <xf numFmtId="171" fontId="0" fillId="0" borderId="0" xfId="0" applyNumberForma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192" fontId="0" fillId="0" borderId="0" xfId="0" applyNumberFormat="1" applyAlignment="1" applyProtection="1">
      <alignment horizontal="center" shrinkToFit="1"/>
      <protection hidden="1"/>
    </xf>
    <xf numFmtId="191" fontId="0" fillId="0" borderId="0" xfId="0" applyNumberFormat="1" applyAlignment="1" applyProtection="1">
      <alignment horizontal="center" shrinkToFit="1"/>
      <protection hidden="1"/>
    </xf>
    <xf numFmtId="193" fontId="0" fillId="0" borderId="0" xfId="0" applyNumberFormat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94" fontId="0" fillId="0" borderId="0" xfId="0" applyNumberFormat="1" applyAlignment="1" applyProtection="1">
      <alignment horizontal="left" vertical="center"/>
      <protection hidden="1"/>
    </xf>
    <xf numFmtId="207" fontId="0" fillId="0" borderId="1" xfId="0" applyNumberFormat="1" applyBorder="1" applyAlignment="1" applyProtection="1">
      <alignment horizontal="left"/>
      <protection hidden="1"/>
    </xf>
    <xf numFmtId="169" fontId="0" fillId="0" borderId="1" xfId="0" applyNumberForma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98" fontId="0" fillId="0" borderId="0" xfId="0" applyNumberFormat="1" applyAlignment="1" applyProtection="1">
      <alignment horizontal="left" vertical="center"/>
      <protection hidden="1"/>
    </xf>
    <xf numFmtId="211" fontId="0" fillId="0" borderId="0" xfId="0" applyNumberFormat="1" applyAlignment="1" applyProtection="1">
      <alignment horizont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73" fontId="0" fillId="0" borderId="0" xfId="0" applyNumberFormat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/>
      <protection hidden="1"/>
    </xf>
    <xf numFmtId="183" fontId="0" fillId="0" borderId="0" xfId="0" applyNumberFormat="1" applyAlignment="1" applyProtection="1">
      <alignment horizontal="center" vertical="center"/>
      <protection hidden="1"/>
    </xf>
    <xf numFmtId="180" fontId="0" fillId="0" borderId="0" xfId="0" applyNumberFormat="1" applyAlignment="1" applyProtection="1">
      <alignment horizontal="center"/>
      <protection hidden="1"/>
    </xf>
    <xf numFmtId="185" fontId="0" fillId="0" borderId="0" xfId="0" applyNumberFormat="1" applyAlignment="1" applyProtection="1">
      <alignment horizontal="center"/>
      <protection hidden="1"/>
    </xf>
    <xf numFmtId="186" fontId="0" fillId="0" borderId="0" xfId="0" applyNumberFormat="1" applyAlignment="1" applyProtection="1">
      <alignment horizontal="left"/>
      <protection hidden="1"/>
    </xf>
    <xf numFmtId="183" fontId="0" fillId="0" borderId="0" xfId="0" applyNumberFormat="1" applyAlignment="1" applyProtection="1">
      <alignment horizontal="center"/>
      <protection hidden="1"/>
    </xf>
    <xf numFmtId="186" fontId="0" fillId="0" borderId="1" xfId="0" applyNumberForma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 horizontal="left"/>
      <protection hidden="1"/>
    </xf>
    <xf numFmtId="175" fontId="0" fillId="0" borderId="0" xfId="0" applyNumberFormat="1" applyAlignment="1" applyProtection="1">
      <alignment horizontal="left"/>
      <protection hidden="1"/>
    </xf>
    <xf numFmtId="180" fontId="0" fillId="0" borderId="1" xfId="0" applyNumberForma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center"/>
      <protection hidden="1"/>
    </xf>
    <xf numFmtId="190" fontId="11" fillId="0" borderId="5" xfId="0" applyNumberFormat="1" applyFont="1" applyBorder="1" applyAlignment="1" applyProtection="1">
      <alignment horizontal="left"/>
      <protection hidden="1"/>
    </xf>
    <xf numFmtId="187" fontId="0" fillId="0" borderId="1" xfId="0" applyNumberFormat="1" applyBorder="1" applyAlignment="1" applyProtection="1">
      <alignment horizontal="center"/>
      <protection hidden="1"/>
    </xf>
    <xf numFmtId="188" fontId="0" fillId="0" borderId="1" xfId="0" applyNumberFormat="1" applyBorder="1" applyAlignment="1" applyProtection="1">
      <alignment horizontal="center"/>
      <protection hidden="1"/>
    </xf>
    <xf numFmtId="189" fontId="0" fillId="0" borderId="1" xfId="0" applyNumberFormat="1" applyBorder="1" applyAlignment="1" applyProtection="1">
      <alignment horizontal="center"/>
      <protection hidden="1"/>
    </xf>
    <xf numFmtId="177" fontId="0" fillId="0" borderId="1" xfId="0" applyNumberFormat="1" applyBorder="1" applyAlignment="1" applyProtection="1">
      <alignment horizontal="left"/>
      <protection hidden="1"/>
    </xf>
    <xf numFmtId="195" fontId="0" fillId="0" borderId="0" xfId="0" applyNumberFormat="1" applyAlignment="1" applyProtection="1">
      <alignment horizontal="center" vertical="center"/>
      <protection hidden="1"/>
    </xf>
    <xf numFmtId="2" fontId="20" fillId="3" borderId="0" xfId="0" applyNumberFormat="1" applyFont="1" applyFill="1" applyAlignment="1" applyProtection="1">
      <alignment horizontal="center"/>
      <protection locked="0"/>
    </xf>
    <xf numFmtId="213" fontId="5" fillId="0" borderId="0" xfId="0" applyNumberFormat="1" applyFont="1" applyAlignment="1" applyProtection="1">
      <alignment horizontal="left" shrinkToFit="1"/>
      <protection hidden="1"/>
    </xf>
    <xf numFmtId="198" fontId="0" fillId="0" borderId="0" xfId="0" applyNumberFormat="1" applyAlignment="1" applyProtection="1">
      <alignment horizontal="center" vertical="center"/>
      <protection hidden="1"/>
    </xf>
    <xf numFmtId="213" fontId="0" fillId="0" borderId="0" xfId="0" applyNumberFormat="1" applyAlignment="1" applyProtection="1">
      <alignment horizontal="left" vertical="center"/>
      <protection hidden="1"/>
    </xf>
    <xf numFmtId="212" fontId="0" fillId="0" borderId="1" xfId="0" applyNumberForma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99" fontId="0" fillId="0" borderId="0" xfId="0" applyNumberFormat="1" applyAlignment="1" applyProtection="1">
      <alignment horizontal="left" vertical="center"/>
      <protection hidden="1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 hidden="1"/>
    </xf>
    <xf numFmtId="197" fontId="0" fillId="0" borderId="0" xfId="0" applyNumberFormat="1" applyAlignment="1" applyProtection="1">
      <alignment horizontal="center"/>
      <protection hidden="1"/>
    </xf>
    <xf numFmtId="198" fontId="0" fillId="0" borderId="0" xfId="0" applyNumberFormat="1" applyAlignment="1" applyProtection="1">
      <alignment horizontal="left"/>
      <protection hidden="1"/>
    </xf>
    <xf numFmtId="0" fontId="0" fillId="0" borderId="7" xfId="0" applyBorder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203" fontId="0" fillId="0" borderId="0" xfId="0" applyNumberFormat="1" applyAlignment="1" applyProtection="1">
      <alignment horizontal="left"/>
      <protection hidden="1"/>
    </xf>
    <xf numFmtId="2" fontId="0" fillId="0" borderId="6" xfId="0" applyNumberFormat="1" applyBorder="1" applyAlignment="1" applyProtection="1">
      <alignment horizontal="left"/>
      <protection hidden="1"/>
    </xf>
    <xf numFmtId="204" fontId="0" fillId="0" borderId="0" xfId="0" applyNumberFormat="1" applyAlignment="1" applyProtection="1">
      <alignment horizontal="left" vertical="center" shrinkToFi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200" fontId="0" fillId="0" borderId="0" xfId="0" applyNumberFormat="1" applyAlignment="1" applyProtection="1">
      <alignment horizontal="center" vertical="center"/>
      <protection hidden="1"/>
    </xf>
    <xf numFmtId="197" fontId="0" fillId="0" borderId="0" xfId="0" applyNumberFormat="1" applyAlignment="1" applyProtection="1">
      <alignment horizontal="center" vertical="center"/>
      <protection hidden="1"/>
    </xf>
    <xf numFmtId="201" fontId="1" fillId="0" borderId="9" xfId="0" applyNumberFormat="1" applyFont="1" applyBorder="1" applyAlignment="1" applyProtection="1">
      <alignment horizontal="center" shrinkToFit="1"/>
      <protection hidden="1"/>
    </xf>
    <xf numFmtId="202" fontId="0" fillId="0" borderId="0" xfId="0" applyNumberFormat="1" applyAlignment="1" applyProtection="1">
      <alignment horizontal="center" vertical="center"/>
      <protection hidden="1"/>
    </xf>
    <xf numFmtId="205" fontId="0" fillId="0" borderId="0" xfId="0" applyNumberFormat="1" applyAlignment="1" applyProtection="1">
      <alignment horizontal="left" vertical="center"/>
      <protection hidden="1"/>
    </xf>
    <xf numFmtId="167" fontId="0" fillId="0" borderId="0" xfId="0" applyNumberFormat="1" applyFill="1" applyAlignment="1" applyProtection="1">
      <alignment horizontal="center" shrinkToFit="1"/>
      <protection hidden="1"/>
    </xf>
    <xf numFmtId="209" fontId="0" fillId="0" borderId="0" xfId="0" applyNumberFormat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shrinkToFit="1"/>
      <protection hidden="1"/>
    </xf>
    <xf numFmtId="0" fontId="32" fillId="2" borderId="0" xfId="0" applyFont="1" applyFill="1" applyBorder="1" applyAlignment="1" applyProtection="1">
      <alignment horizontal="center" shrinkToFit="1"/>
      <protection hidden="1"/>
    </xf>
    <xf numFmtId="0" fontId="33" fillId="2" borderId="0" xfId="0" applyFont="1" applyFill="1" applyBorder="1" applyAlignment="1" applyProtection="1">
      <alignment horizontal="center" shrinkToFit="1"/>
      <protection hidden="1"/>
    </xf>
    <xf numFmtId="222" fontId="20" fillId="2" borderId="0" xfId="0" applyNumberFormat="1" applyFont="1" applyFill="1" applyBorder="1" applyAlignment="1" applyProtection="1">
      <alignment horizontal="center" shrinkToFit="1"/>
      <protection hidden="1"/>
    </xf>
    <xf numFmtId="167" fontId="20" fillId="2" borderId="0" xfId="0" applyNumberFormat="1" applyFont="1" applyFill="1" applyBorder="1" applyAlignment="1" applyProtection="1">
      <alignment horizontal="center" shrinkToFit="1"/>
      <protection hidden="1"/>
    </xf>
    <xf numFmtId="214" fontId="20" fillId="2" borderId="0" xfId="0" applyNumberFormat="1" applyFont="1" applyFill="1" applyBorder="1" applyAlignment="1" applyProtection="1">
      <alignment horizontal="center" shrinkToFit="1"/>
      <protection hidden="1"/>
    </xf>
    <xf numFmtId="215" fontId="20" fillId="2" borderId="0" xfId="0" applyNumberFormat="1" applyFont="1" applyFill="1" applyBorder="1" applyAlignment="1" applyProtection="1">
      <alignment horizontal="center" shrinkToFit="1"/>
      <protection hidden="1"/>
    </xf>
    <xf numFmtId="2" fontId="20" fillId="2" borderId="0" xfId="0" applyNumberFormat="1" applyFont="1" applyFill="1" applyBorder="1" applyAlignment="1" applyProtection="1">
      <alignment horizontal="center" shrinkToFit="1"/>
      <protection hidden="1"/>
    </xf>
    <xf numFmtId="218" fontId="20" fillId="2" borderId="0" xfId="0" applyNumberFormat="1" applyFont="1" applyFill="1" applyBorder="1" applyAlignment="1" applyProtection="1">
      <alignment horizontal="center" shrinkToFit="1"/>
      <protection hidden="1"/>
    </xf>
    <xf numFmtId="0" fontId="20" fillId="2" borderId="0" xfId="0" applyNumberFormat="1" applyFont="1" applyFill="1" applyBorder="1" applyAlignment="1" applyProtection="1">
      <alignment horizontal="center" shrinkToFit="1"/>
      <protection hidden="1"/>
    </xf>
    <xf numFmtId="216" fontId="20" fillId="2" borderId="0" xfId="0" applyNumberFormat="1" applyFont="1" applyFill="1" applyBorder="1" applyAlignment="1" applyProtection="1">
      <alignment horizontal="center" shrinkToFit="1"/>
      <protection hidden="1"/>
    </xf>
    <xf numFmtId="217" fontId="20" fillId="2" borderId="0" xfId="0" applyNumberFormat="1" applyFont="1" applyFill="1" applyBorder="1" applyAlignment="1" applyProtection="1">
      <alignment horizontal="center" shrinkToFit="1"/>
      <protection hidden="1"/>
    </xf>
    <xf numFmtId="219" fontId="20" fillId="2" borderId="0" xfId="0" applyNumberFormat="1" applyFont="1" applyFill="1" applyBorder="1" applyAlignment="1" applyProtection="1">
      <alignment horizontal="center" shrinkToFit="1"/>
      <protection hidden="1"/>
    </xf>
    <xf numFmtId="220" fontId="20" fillId="2" borderId="0" xfId="0" applyNumberFormat="1" applyFont="1" applyFill="1" applyBorder="1" applyAlignment="1" applyProtection="1">
      <alignment horizontal="center" shrinkToFit="1"/>
      <protection hidden="1"/>
    </xf>
    <xf numFmtId="221" fontId="20" fillId="2" borderId="0" xfId="0" applyNumberFormat="1" applyFont="1" applyFill="1" applyBorder="1" applyAlignment="1" applyProtection="1">
      <alignment horizontal="center" shrinkToFit="1"/>
      <protection hidden="1"/>
    </xf>
    <xf numFmtId="224" fontId="20" fillId="2" borderId="0" xfId="0" applyNumberFormat="1" applyFont="1" applyFill="1" applyBorder="1" applyAlignment="1" applyProtection="1">
      <alignment horizontal="center" shrinkToFit="1"/>
      <protection hidden="1"/>
    </xf>
    <xf numFmtId="201" fontId="20" fillId="2" borderId="0" xfId="0" applyNumberFormat="1" applyFont="1" applyFill="1" applyBorder="1" applyAlignment="1" applyProtection="1">
      <alignment horizontal="center" shrinkToFit="1"/>
      <protection hidden="1"/>
    </xf>
    <xf numFmtId="223" fontId="20" fillId="2" borderId="0" xfId="0" applyNumberFormat="1" applyFont="1" applyFill="1" applyBorder="1" applyAlignment="1" applyProtection="1">
      <alignment horizontal="center" shrinkToFit="1"/>
      <protection hidden="1"/>
    </xf>
    <xf numFmtId="0" fontId="21" fillId="2" borderId="0" xfId="0" applyFont="1" applyFill="1" applyBorder="1" applyAlignment="1" applyProtection="1">
      <alignment horizontal="center" shrinkToFit="1"/>
      <protection hidden="1"/>
    </xf>
    <xf numFmtId="226" fontId="20" fillId="2" borderId="0" xfId="0" applyNumberFormat="1" applyFont="1" applyFill="1" applyBorder="1" applyAlignment="1" applyProtection="1">
      <alignment horizontal="center" shrinkToFit="1"/>
      <protection hidden="1"/>
    </xf>
  </cellXfs>
  <cellStyles count="3">
    <cellStyle name="Hipervínculo" xfId="2" builtinId="8"/>
    <cellStyle name="Millares 2" xfId="1" xr:uid="{E26A0655-71D1-4D06-ACB5-4162078B5E0A}"/>
    <cellStyle name="Normal" xfId="0" builtinId="0"/>
  </cellStyles>
  <dxfs count="0"/>
  <tableStyles count="0" defaultTableStyle="TableStyleMedium2" defaultPivotStyle="PivotStyleLight16"/>
  <colors>
    <mruColors>
      <color rgb="FF61E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Estructura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datos'!$B$5:$B$57</c:f>
              <c:numCache>
                <c:formatCode>General</c:formatCode>
                <c:ptCount val="53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0.65</c:v>
                </c:pt>
                <c:pt idx="9">
                  <c:v>0.65</c:v>
                </c:pt>
                <c:pt idx="10">
                  <c:v>0.65</c:v>
                </c:pt>
                <c:pt idx="12">
                  <c:v>0</c:v>
                </c:pt>
                <c:pt idx="13">
                  <c:v>0</c:v>
                </c:pt>
                <c:pt idx="15">
                  <c:v>0.65</c:v>
                </c:pt>
                <c:pt idx="16">
                  <c:v>3.5</c:v>
                </c:pt>
                <c:pt idx="18">
                  <c:v>3.5</c:v>
                </c:pt>
                <c:pt idx="19">
                  <c:v>0.65</c:v>
                </c:pt>
                <c:pt idx="21">
                  <c:v>0.65</c:v>
                </c:pt>
                <c:pt idx="22">
                  <c:v>0.65</c:v>
                </c:pt>
                <c:pt idx="24">
                  <c:v>-0.1</c:v>
                </c:pt>
                <c:pt idx="25">
                  <c:v>0.2</c:v>
                </c:pt>
                <c:pt idx="27">
                  <c:v>0.2</c:v>
                </c:pt>
                <c:pt idx="28">
                  <c:v>0.2</c:v>
                </c:pt>
                <c:pt idx="30">
                  <c:v>0.2</c:v>
                </c:pt>
                <c:pt idx="31">
                  <c:v>0.30000000000000004</c:v>
                </c:pt>
                <c:pt idx="33">
                  <c:v>0.30000000000000004</c:v>
                </c:pt>
                <c:pt idx="34">
                  <c:v>0.30000000000000004</c:v>
                </c:pt>
                <c:pt idx="36">
                  <c:v>0.30000000000000004</c:v>
                </c:pt>
                <c:pt idx="37">
                  <c:v>0.75</c:v>
                </c:pt>
                <c:pt idx="39">
                  <c:v>3.5</c:v>
                </c:pt>
                <c:pt idx="40">
                  <c:v>3.5</c:v>
                </c:pt>
                <c:pt idx="42">
                  <c:v>3.5</c:v>
                </c:pt>
                <c:pt idx="43">
                  <c:v>3.35</c:v>
                </c:pt>
                <c:pt idx="45">
                  <c:v>3.35</c:v>
                </c:pt>
                <c:pt idx="46">
                  <c:v>3.65</c:v>
                </c:pt>
                <c:pt idx="48">
                  <c:v>3.65</c:v>
                </c:pt>
                <c:pt idx="49">
                  <c:v>3.5</c:v>
                </c:pt>
                <c:pt idx="51">
                  <c:v>3.5</c:v>
                </c:pt>
                <c:pt idx="52">
                  <c:v>3.5</c:v>
                </c:pt>
              </c:numCache>
            </c:numRef>
          </c:xVal>
          <c:yVal>
            <c:numRef>
              <c:f>'base de datos'!$C$5:$C$57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4.25</c:v>
                </c:pt>
                <c:pt idx="12">
                  <c:v>0</c:v>
                </c:pt>
                <c:pt idx="13">
                  <c:v>5.5</c:v>
                </c:pt>
                <c:pt idx="15">
                  <c:v>4.25</c:v>
                </c:pt>
                <c:pt idx="16">
                  <c:v>4.25</c:v>
                </c:pt>
                <c:pt idx="18">
                  <c:v>4.75</c:v>
                </c:pt>
                <c:pt idx="19">
                  <c:v>4.75</c:v>
                </c:pt>
                <c:pt idx="21">
                  <c:v>4.75</c:v>
                </c:pt>
                <c:pt idx="22">
                  <c:v>5.5</c:v>
                </c:pt>
                <c:pt idx="24">
                  <c:v>5.5</c:v>
                </c:pt>
                <c:pt idx="25">
                  <c:v>5.5</c:v>
                </c:pt>
                <c:pt idx="27">
                  <c:v>5.5</c:v>
                </c:pt>
                <c:pt idx="28">
                  <c:v>5.65</c:v>
                </c:pt>
                <c:pt idx="30">
                  <c:v>5.65</c:v>
                </c:pt>
                <c:pt idx="31">
                  <c:v>5.35</c:v>
                </c:pt>
                <c:pt idx="33">
                  <c:v>5.35</c:v>
                </c:pt>
                <c:pt idx="34">
                  <c:v>5.5</c:v>
                </c:pt>
                <c:pt idx="36">
                  <c:v>5.5</c:v>
                </c:pt>
                <c:pt idx="37">
                  <c:v>5.5</c:v>
                </c:pt>
                <c:pt idx="39">
                  <c:v>4.1500000000000004</c:v>
                </c:pt>
                <c:pt idx="40">
                  <c:v>4.45</c:v>
                </c:pt>
                <c:pt idx="42">
                  <c:v>4.45</c:v>
                </c:pt>
                <c:pt idx="43">
                  <c:v>4.45</c:v>
                </c:pt>
                <c:pt idx="45">
                  <c:v>4.45</c:v>
                </c:pt>
                <c:pt idx="46">
                  <c:v>4.55</c:v>
                </c:pt>
                <c:pt idx="48">
                  <c:v>4.55</c:v>
                </c:pt>
                <c:pt idx="49">
                  <c:v>4.55</c:v>
                </c:pt>
                <c:pt idx="51">
                  <c:v>4.55</c:v>
                </c:pt>
                <c:pt idx="52">
                  <c:v>4.8499999999999996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51-4019-AA2A-34EDCFF3D947}"/>
            </c:ext>
          </c:extLst>
        </c:ser>
        <c:ser>
          <c:idx val="1"/>
          <c:order val="1"/>
          <c:tx>
            <c:v>eje viga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'base de datos'!$E$5:$E$6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'base de datos'!$F$5:$F$6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51-4019-AA2A-34EDCFF3D947}"/>
            </c:ext>
          </c:extLst>
        </c:ser>
        <c:ser>
          <c:idx val="2"/>
          <c:order val="2"/>
          <c:tx>
            <c:v>Long. h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datos'!$E$8:$E$15</c:f>
              <c:numCache>
                <c:formatCode>General</c:formatCode>
                <c:ptCount val="8"/>
                <c:pt idx="0">
                  <c:v>-0.1</c:v>
                </c:pt>
                <c:pt idx="1">
                  <c:v>-0.4</c:v>
                </c:pt>
                <c:pt idx="3">
                  <c:v>-0.25</c:v>
                </c:pt>
                <c:pt idx="4">
                  <c:v>-0.25</c:v>
                </c:pt>
                <c:pt idx="6">
                  <c:v>-0.1</c:v>
                </c:pt>
                <c:pt idx="7">
                  <c:v>-0.4</c:v>
                </c:pt>
              </c:numCache>
            </c:numRef>
          </c:xVal>
          <c:yVal>
            <c:numRef>
              <c:f>'base de datos'!$F$8:$F$15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51-4019-AA2A-34EDCFF3D947}"/>
            </c:ext>
          </c:extLst>
        </c:ser>
        <c:ser>
          <c:idx val="3"/>
          <c:order val="3"/>
          <c:tx>
            <c:v>cota h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6223024498912703"/>
                  <c:y val="0"/>
                </c:manualLayout>
              </c:layout>
              <c:tx>
                <c:rich>
                  <a:bodyPr/>
                  <a:lstStyle/>
                  <a:p>
                    <a:fld id="{50A86192-C4C2-40AA-A3CB-7BE4126D938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r"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datos'!$E$17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xVal>
          <c:yVal>
            <c:numRef>
              <c:f>'base de datos'!$F$17</c:f>
              <c:numCache>
                <c:formatCode>General</c:formatCode>
                <c:ptCount val="1"/>
                <c:pt idx="0">
                  <c:v>2.25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datos'!$D$17</c15:f>
                <c15:dlblRangeCache>
                  <c:ptCount val="1"/>
                  <c:pt idx="0">
                    <c:v>4.50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B251-4019-AA2A-34EDCFF3D947}"/>
            </c:ext>
          </c:extLst>
        </c:ser>
        <c:ser>
          <c:idx val="4"/>
          <c:order val="4"/>
          <c:tx>
            <c:v>h s/c</c:v>
          </c:tx>
          <c:spPr>
            <a:ln w="44450" cap="sq" cmpd="thickThin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datos'!$E$19:$E$20</c:f>
              <c:numCache>
                <c:formatCode>General</c:formatCode>
                <c:ptCount val="2"/>
                <c:pt idx="0">
                  <c:v>0.70000000000000007</c:v>
                </c:pt>
                <c:pt idx="1">
                  <c:v>3.45</c:v>
                </c:pt>
              </c:numCache>
            </c:numRef>
          </c:xVal>
          <c:yVal>
            <c:numRef>
              <c:f>'base de datos'!$F$19:$F$20</c:f>
              <c:numCache>
                <c:formatCode>General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51-4019-AA2A-34EDCFF3D947}"/>
            </c:ext>
          </c:extLst>
        </c:ser>
        <c:ser>
          <c:idx val="5"/>
          <c:order val="5"/>
          <c:tx>
            <c:v>PS</c:v>
          </c:tx>
          <c:spPr>
            <a:ln w="19050" cap="rnd">
              <a:solidFill>
                <a:srgbClr val="0070C0"/>
              </a:solidFill>
              <a:round/>
              <a:headEnd type="arrow"/>
            </a:ln>
            <a:effectLst/>
          </c:spPr>
          <c:marker>
            <c:symbol val="none"/>
          </c:marker>
          <c:xVal>
            <c:numRef>
              <c:f>'base de datos'!$E$24:$E$25</c:f>
              <c:numCache>
                <c:formatCode>General</c:formatCode>
                <c:ptCount val="2"/>
                <c:pt idx="0">
                  <c:v>0.32500000000000001</c:v>
                </c:pt>
                <c:pt idx="1">
                  <c:v>0.32500000000000001</c:v>
                </c:pt>
              </c:numCache>
            </c:numRef>
          </c:xVal>
          <c:yVal>
            <c:numRef>
              <c:f>'base de datos'!$F$24:$F$25</c:f>
              <c:numCache>
                <c:formatCode>General</c:formatCode>
                <c:ptCount val="2"/>
                <c:pt idx="0">
                  <c:v>0.6</c:v>
                </c:pt>
                <c:pt idx="1">
                  <c:v>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51-4019-AA2A-34EDCFF3D947}"/>
            </c:ext>
          </c:extLst>
        </c:ser>
        <c:ser>
          <c:idx val="6"/>
          <c:order val="6"/>
          <c:tx>
            <c:v>cota s/c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8541320694752977"/>
                  <c:y val="-2.97455285285102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A3A8FC-D2AA-4C06-A571-6A37398445E6}" type="CELLRANGE">
                      <a:rPr lang="en-US"/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385050513764472"/>
                      <c:h val="5.598256334711239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datos'!$E$22</c:f>
              <c:numCache>
                <c:formatCode>General</c:formatCode>
                <c:ptCount val="1"/>
                <c:pt idx="0">
                  <c:v>2.0249999999999999</c:v>
                </c:pt>
              </c:numCache>
            </c:numRef>
          </c:xVal>
          <c:yVal>
            <c:numRef>
              <c:f>'base de datos'!$F$22</c:f>
              <c:numCache>
                <c:formatCode>General</c:formatCode>
                <c:ptCount val="1"/>
                <c:pt idx="0">
                  <c:v>1.2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datos'!$D$22</c15:f>
                <c15:dlblRangeCache>
                  <c:ptCount val="1"/>
                  <c:pt idx="0">
                    <c:v>s/c = 400 kg/m²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B251-4019-AA2A-34EDCFF3D947}"/>
            </c:ext>
          </c:extLst>
        </c:ser>
        <c:ser>
          <c:idx val="7"/>
          <c:order val="7"/>
          <c:tx>
            <c:v>cota PS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949991132022905E-2"/>
                  <c:y val="-2.80173902376625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0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236232-EC1E-4F8B-9F2F-F9C51AB81C99}" type="CELLRANGE">
                      <a:rPr lang="en-US"/>
                      <a:pPr algn="l">
                        <a:defRPr sz="1000" b="1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33346083682712"/>
                      <c:h val="5.954382674743652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datos'!$E$25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datos'!$F$25</c:f>
              <c:numCache>
                <c:formatCode>General</c:formatCode>
                <c:ptCount val="1"/>
                <c:pt idx="0">
                  <c:v>2.75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datos'!$D$25</c15:f>
                <c15:dlblRangeCache>
                  <c:ptCount val="1"/>
                  <c:pt idx="0">
                    <c:v>PS = 79.37 tn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B251-4019-AA2A-34EDCFF3D947}"/>
            </c:ext>
          </c:extLst>
        </c:ser>
        <c:ser>
          <c:idx val="8"/>
          <c:order val="8"/>
          <c:tx>
            <c:v>B Za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</c:numCache>
            </c:numRef>
          </c:xVal>
          <c:yVal>
            <c:numRef>
              <c:f>'base de datos'!$F$27:$F$34</c:f>
              <c:numCache>
                <c:formatCode>General</c:formatCode>
                <c:ptCount val="8"/>
                <c:pt idx="0">
                  <c:v>-0.1</c:v>
                </c:pt>
                <c:pt idx="1">
                  <c:v>-0.30000000000000004</c:v>
                </c:pt>
                <c:pt idx="3">
                  <c:v>-0.25</c:v>
                </c:pt>
                <c:pt idx="4">
                  <c:v>-0.25</c:v>
                </c:pt>
                <c:pt idx="6">
                  <c:v>-0.1</c:v>
                </c:pt>
                <c:pt idx="7">
                  <c:v>-0.30000000000000004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251-4019-AA2A-34EDCFF3D947}"/>
            </c:ext>
          </c:extLst>
        </c:ser>
        <c:ser>
          <c:idx val="9"/>
          <c:order val="9"/>
          <c:tx>
            <c:v>cota B Za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46A3835-9C5B-45E3-B370-4E966F732C1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datos'!$E$36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datos'!$F$36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datos'!$D$36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251-4019-AA2A-34EDCFF3D947}"/>
            </c:ext>
          </c:extLst>
        </c:ser>
        <c:ser>
          <c:idx val="10"/>
          <c:order val="10"/>
          <c:tx>
            <c:v>hz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datos'!$E$38:$E$45</c:f>
              <c:numCache>
                <c:formatCode>General</c:formatCode>
                <c:ptCount val="8"/>
                <c:pt idx="0">
                  <c:v>1.2000000000000002</c:v>
                </c:pt>
                <c:pt idx="1">
                  <c:v>1.4000000000000001</c:v>
                </c:pt>
                <c:pt idx="3">
                  <c:v>1.33</c:v>
                </c:pt>
                <c:pt idx="4">
                  <c:v>1.33</c:v>
                </c:pt>
                <c:pt idx="6">
                  <c:v>1.2000000000000002</c:v>
                </c:pt>
                <c:pt idx="7">
                  <c:v>1.4000000000000001</c:v>
                </c:pt>
              </c:numCache>
            </c:numRef>
          </c:xVal>
          <c:yVal>
            <c:numRef>
              <c:f>'base de datos'!$F$38:$F$45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251-4019-AA2A-34EDCFF3D947}"/>
            </c:ext>
          </c:extLst>
        </c:ser>
        <c:ser>
          <c:idx val="11"/>
          <c:order val="11"/>
          <c:tx>
            <c:v>cota hz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503882277923257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1BA4C4-1133-4E13-B7E7-86AF3752C8C3}" type="CELLRANGE">
                      <a:rPr lang="en-US" sz="1000">
                        <a:solidFill>
                          <a:schemeClr val="tx1"/>
                        </a:solidFill>
                      </a:rPr>
                      <a:pPr algn="l">
                        <a:defRPr sz="1000"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datos'!$E$47</c:f>
              <c:numCache>
                <c:formatCode>General</c:formatCode>
                <c:ptCount val="1"/>
                <c:pt idx="0">
                  <c:v>1.33</c:v>
                </c:pt>
              </c:numCache>
            </c:numRef>
          </c:xVal>
          <c:yVal>
            <c:numRef>
              <c:f>'base de datos'!$F$47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datos'!$D$47</c15:f>
                <c15:dlblRangeCache>
                  <c:ptCount val="1"/>
                  <c:pt idx="0">
                    <c:v>0.60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B251-4019-AA2A-34EDCFF3D947}"/>
            </c:ext>
          </c:extLst>
        </c:ser>
        <c:ser>
          <c:idx val="12"/>
          <c:order val="12"/>
          <c:tx>
            <c:v>Df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datos'!$E$49:$E$56</c:f>
              <c:numCache>
                <c:formatCode>General</c:formatCode>
                <c:ptCount val="8"/>
                <c:pt idx="0">
                  <c:v>3.6</c:v>
                </c:pt>
                <c:pt idx="1">
                  <c:v>3.8000000000000003</c:v>
                </c:pt>
                <c:pt idx="3">
                  <c:v>3.7300000000000004</c:v>
                </c:pt>
                <c:pt idx="4">
                  <c:v>3.7300000000000004</c:v>
                </c:pt>
                <c:pt idx="6">
                  <c:v>3.6</c:v>
                </c:pt>
                <c:pt idx="7">
                  <c:v>3.8000000000000003</c:v>
                </c:pt>
              </c:numCache>
            </c:numRef>
          </c:xVal>
          <c:yVal>
            <c:numRef>
              <c:f>'base de datos'!$F$49:$F$56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1.2</c:v>
                </c:pt>
                <c:pt idx="6">
                  <c:v>1.2</c:v>
                </c:pt>
                <c:pt idx="7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251-4019-AA2A-34EDCFF3D947}"/>
            </c:ext>
          </c:extLst>
        </c:ser>
        <c:ser>
          <c:idx val="13"/>
          <c:order val="13"/>
          <c:tx>
            <c:v>cota Df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503882277923164E-2"/>
                  <c:y val="-1.2865341345514914E-16"/>
                </c:manualLayout>
              </c:layout>
              <c:tx>
                <c:rich>
                  <a:bodyPr/>
                  <a:lstStyle/>
                  <a:p>
                    <a:fld id="{D20288B7-2DC8-414E-9F38-4CEFF1254C11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datos'!$E$58</c:f>
              <c:numCache>
                <c:formatCode>General</c:formatCode>
                <c:ptCount val="1"/>
                <c:pt idx="0">
                  <c:v>3.7300000000000004</c:v>
                </c:pt>
              </c:numCache>
            </c:numRef>
          </c:xVal>
          <c:yVal>
            <c:numRef>
              <c:f>'base de datos'!$F$58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datos'!$D$58</c15:f>
                <c15:dlblRangeCache>
                  <c:ptCount val="1"/>
                  <c:pt idx="0">
                    <c:v>Df= 1.20m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B251-4019-AA2A-34EDCFF3D947}"/>
            </c:ext>
          </c:extLst>
        </c:ser>
        <c:ser>
          <c:idx val="14"/>
          <c:order val="14"/>
          <c:tx>
            <c:v>Lc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datos'!$E$60:$E$67</c:f>
              <c:numCache>
                <c:formatCode>General</c:formatCode>
                <c:ptCount val="8"/>
                <c:pt idx="0">
                  <c:v>4.0999999999999996</c:v>
                </c:pt>
                <c:pt idx="1">
                  <c:v>4.3</c:v>
                </c:pt>
                <c:pt idx="3">
                  <c:v>4.2299999999999995</c:v>
                </c:pt>
                <c:pt idx="4">
                  <c:v>4.2299999999999995</c:v>
                </c:pt>
                <c:pt idx="6">
                  <c:v>3.7499999999999996</c:v>
                </c:pt>
                <c:pt idx="7">
                  <c:v>4.3</c:v>
                </c:pt>
              </c:numCache>
            </c:numRef>
          </c:xVal>
          <c:yVal>
            <c:numRef>
              <c:f>'base de datos'!$F$60:$F$67</c:f>
              <c:numCache>
                <c:formatCode>General</c:formatCode>
                <c:ptCount val="8"/>
                <c:pt idx="0">
                  <c:v>0.6</c:v>
                </c:pt>
                <c:pt idx="1">
                  <c:v>0.6</c:v>
                </c:pt>
                <c:pt idx="3">
                  <c:v>0.6</c:v>
                </c:pt>
                <c:pt idx="4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251-4019-AA2A-34EDCFF3D947}"/>
            </c:ext>
          </c:extLst>
        </c:ser>
        <c:ser>
          <c:idx val="15"/>
          <c:order val="15"/>
          <c:tx>
            <c:v>cota Lc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335921518615442E-2"/>
                  <c:y val="0"/>
                </c:manualLayout>
              </c:layout>
              <c:tx>
                <c:rich>
                  <a:bodyPr/>
                  <a:lstStyle/>
                  <a:p>
                    <a:fld id="{1BB54E4C-6046-40A0-91C5-404799E0098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251-4019-AA2A-34EDCFF3D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datos'!$E$69</c:f>
              <c:numCache>
                <c:formatCode>General</c:formatCode>
                <c:ptCount val="1"/>
                <c:pt idx="0">
                  <c:v>4.2299999999999995</c:v>
                </c:pt>
              </c:numCache>
            </c:numRef>
          </c:xVal>
          <c:yVal>
            <c:numRef>
              <c:f>'base de datos'!$F$69</c:f>
              <c:numCache>
                <c:formatCode>General</c:formatCode>
                <c:ptCount val="1"/>
                <c:pt idx="0">
                  <c:v>2.5499999999999998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datos'!$D$69</c15:f>
                <c15:dlblRangeCache>
                  <c:ptCount val="1"/>
                  <c:pt idx="0">
                    <c:v>Lc= 3.90m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B251-4019-AA2A-34EDCFF3D947}"/>
            </c:ext>
          </c:extLst>
        </c:ser>
        <c:ser>
          <c:idx val="16"/>
          <c:order val="16"/>
          <c:tx>
            <c:v>HM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C5DFA9-AB80-4028-93B0-BDBBEB506527}" type="CELLRANGE">
                      <a:rPr lang="en-US"/>
                      <a:pPr>
                        <a:defRPr>
                          <a:solidFill>
                            <a:srgbClr val="002060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47930437786091"/>
                      <c:h val="8.761398667551502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FC0-4DB1-90DF-1C49BD401B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datos'!$T$155</c:f>
              <c:numCache>
                <c:formatCode>General</c:formatCode>
                <c:ptCount val="1"/>
                <c:pt idx="0">
                  <c:v>4.3</c:v>
                </c:pt>
              </c:numCache>
            </c:numRef>
          </c:xVal>
          <c:yVal>
            <c:numRef>
              <c:f>'base de datos'!$U$155</c:f>
              <c:numCache>
                <c:formatCode>General</c:formatCode>
                <c:ptCount val="1"/>
                <c:pt idx="0">
                  <c:v>-0.30000000000000004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datos'!$Q$155</c15:f>
                <c15:dlblRangeCache>
                  <c:ptCount val="1"/>
                  <c:pt idx="0">
                    <c:v>hebmerma.com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9FC0-4DB1-90DF-1C49BD401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21583"/>
        <c:axId val="826654527"/>
      </c:scatterChart>
      <c:valAx>
        <c:axId val="8280215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6654527"/>
        <c:crosses val="autoZero"/>
        <c:crossBetween val="midCat"/>
      </c:valAx>
      <c:valAx>
        <c:axId val="8266545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280215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Transversal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datos'!$K$5:$K$39</c:f>
              <c:numCache>
                <c:formatCode>General</c:formatCode>
                <c:ptCount val="35"/>
                <c:pt idx="0">
                  <c:v>0</c:v>
                </c:pt>
                <c:pt idx="1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1.3</c:v>
                </c:pt>
                <c:pt idx="9">
                  <c:v>1.3</c:v>
                </c:pt>
                <c:pt idx="10">
                  <c:v>1.3</c:v>
                </c:pt>
                <c:pt idx="12">
                  <c:v>1.4000000000000001</c:v>
                </c:pt>
                <c:pt idx="13">
                  <c:v>1.1500000000000001</c:v>
                </c:pt>
                <c:pt idx="15">
                  <c:v>1.1500000000000001</c:v>
                </c:pt>
                <c:pt idx="16">
                  <c:v>1.1500000000000001</c:v>
                </c:pt>
                <c:pt idx="18">
                  <c:v>1.1500000000000001</c:v>
                </c:pt>
                <c:pt idx="19">
                  <c:v>1.05</c:v>
                </c:pt>
                <c:pt idx="21">
                  <c:v>1.05</c:v>
                </c:pt>
                <c:pt idx="22">
                  <c:v>1.05</c:v>
                </c:pt>
                <c:pt idx="24">
                  <c:v>1.05</c:v>
                </c:pt>
                <c:pt idx="25">
                  <c:v>0.80000000000000016</c:v>
                </c:pt>
                <c:pt idx="27">
                  <c:v>0.90000000000000013</c:v>
                </c:pt>
                <c:pt idx="28">
                  <c:v>0.90000000000000013</c:v>
                </c:pt>
                <c:pt idx="30">
                  <c:v>0.90000000000000013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'base de datos'!$L$5:$L$39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1.2999999999999998</c:v>
                </c:pt>
                <c:pt idx="12">
                  <c:v>1.2999999999999998</c:v>
                </c:pt>
                <c:pt idx="13">
                  <c:v>1.2999999999999998</c:v>
                </c:pt>
                <c:pt idx="15">
                  <c:v>1.2999999999999998</c:v>
                </c:pt>
                <c:pt idx="16">
                  <c:v>1.1499999999999999</c:v>
                </c:pt>
                <c:pt idx="18">
                  <c:v>1.1499999999999999</c:v>
                </c:pt>
                <c:pt idx="19">
                  <c:v>1.4499999999999997</c:v>
                </c:pt>
                <c:pt idx="21">
                  <c:v>1.4499999999999997</c:v>
                </c:pt>
                <c:pt idx="22">
                  <c:v>1.2999999999999998</c:v>
                </c:pt>
                <c:pt idx="24">
                  <c:v>1.2999999999999998</c:v>
                </c:pt>
                <c:pt idx="25">
                  <c:v>1.2999999999999998</c:v>
                </c:pt>
                <c:pt idx="27">
                  <c:v>1.2999999999999998</c:v>
                </c:pt>
                <c:pt idx="28">
                  <c:v>0.6</c:v>
                </c:pt>
                <c:pt idx="30">
                  <c:v>0.6</c:v>
                </c:pt>
                <c:pt idx="31">
                  <c:v>0.6</c:v>
                </c:pt>
                <c:pt idx="33">
                  <c:v>0.6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7-4D20-93CC-61FD32026D79}"/>
            </c:ext>
          </c:extLst>
        </c:ser>
        <c:ser>
          <c:idx val="1"/>
          <c:order val="1"/>
          <c:tx>
            <c:v>Wnu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datos'!$K$41:$K$48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</c:numCache>
            </c:numRef>
          </c:xVal>
          <c:yVal>
            <c:numRef>
              <c:f>'base de datos'!$L$41:$L$48</c:f>
              <c:numCache>
                <c:formatCode>General</c:formatCode>
                <c:ptCount val="8"/>
                <c:pt idx="0">
                  <c:v>0</c:v>
                </c:pt>
                <c:pt idx="1">
                  <c:v>-0.19999999999999998</c:v>
                </c:pt>
                <c:pt idx="3">
                  <c:v>-0.19999999999999998</c:v>
                </c:pt>
                <c:pt idx="4">
                  <c:v>-0.19999999999999998</c:v>
                </c:pt>
                <c:pt idx="6">
                  <c:v>-0.19999999999999998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45-440E-8DD7-E68A53DB3312}"/>
            </c:ext>
          </c:extLst>
        </c:ser>
        <c:ser>
          <c:idx val="2"/>
          <c:order val="2"/>
          <c:tx>
            <c:v>Wnu↑</c:v>
          </c:tx>
          <c:spPr>
            <a:ln w="12700" cap="rnd">
              <a:solidFill>
                <a:schemeClr val="accent2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'base de datos'!$K$50:$K$69</c:f>
              <c:numCache>
                <c:formatCode>General</c:formatCode>
                <c:ptCount val="20"/>
                <c:pt idx="0">
                  <c:v>0.27500000000000002</c:v>
                </c:pt>
                <c:pt idx="1">
                  <c:v>0.27500000000000002</c:v>
                </c:pt>
                <c:pt idx="3">
                  <c:v>0.55000000000000004</c:v>
                </c:pt>
                <c:pt idx="4">
                  <c:v>0.55000000000000004</c:v>
                </c:pt>
                <c:pt idx="6">
                  <c:v>0.82500000000000007</c:v>
                </c:pt>
                <c:pt idx="7">
                  <c:v>0.82500000000000007</c:v>
                </c:pt>
                <c:pt idx="9">
                  <c:v>1.1000000000000001</c:v>
                </c:pt>
                <c:pt idx="10">
                  <c:v>1.1000000000000001</c:v>
                </c:pt>
                <c:pt idx="12">
                  <c:v>1.375</c:v>
                </c:pt>
                <c:pt idx="13">
                  <c:v>1.375</c:v>
                </c:pt>
                <c:pt idx="15">
                  <c:v>1.6500000000000001</c:v>
                </c:pt>
                <c:pt idx="16">
                  <c:v>1.6500000000000001</c:v>
                </c:pt>
                <c:pt idx="18">
                  <c:v>1.9250000000000003</c:v>
                </c:pt>
                <c:pt idx="19">
                  <c:v>1.9250000000000003</c:v>
                </c:pt>
              </c:numCache>
            </c:numRef>
          </c:xVal>
          <c:yVal>
            <c:numRef>
              <c:f>'base de datos'!$L$50:$L$69</c:f>
              <c:numCache>
                <c:formatCode>General</c:formatCode>
                <c:ptCount val="20"/>
                <c:pt idx="0">
                  <c:v>-0.19999999999999998</c:v>
                </c:pt>
                <c:pt idx="1">
                  <c:v>0</c:v>
                </c:pt>
                <c:pt idx="3">
                  <c:v>-0.19999999999999998</c:v>
                </c:pt>
                <c:pt idx="4">
                  <c:v>0</c:v>
                </c:pt>
                <c:pt idx="6">
                  <c:v>-0.19999999999999998</c:v>
                </c:pt>
                <c:pt idx="7">
                  <c:v>0</c:v>
                </c:pt>
                <c:pt idx="9">
                  <c:v>-0.19999999999999998</c:v>
                </c:pt>
                <c:pt idx="10">
                  <c:v>0</c:v>
                </c:pt>
                <c:pt idx="12">
                  <c:v>-0.19999999999999998</c:v>
                </c:pt>
                <c:pt idx="13">
                  <c:v>0</c:v>
                </c:pt>
                <c:pt idx="15">
                  <c:v>-0.19999999999999998</c:v>
                </c:pt>
                <c:pt idx="16">
                  <c:v>0</c:v>
                </c:pt>
                <c:pt idx="18">
                  <c:v>-0.19999999999999998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45-440E-8DD7-E68A53DB3312}"/>
            </c:ext>
          </c:extLst>
        </c:ser>
        <c:ser>
          <c:idx val="3"/>
          <c:order val="3"/>
          <c:tx>
            <c:v>RN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19050" cap="rnd">
                <a:solidFill>
                  <a:schemeClr val="accent1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4-7645-440E-8DD7-E68A53DB3312}"/>
              </c:ext>
            </c:extLst>
          </c:dPt>
          <c:xVal>
            <c:numRef>
              <c:f>'base de datos'!$K$71:$K$72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1.1000000000000001</c:v>
                </c:pt>
              </c:numCache>
            </c:numRef>
          </c:xVal>
          <c:yVal>
            <c:numRef>
              <c:f>'base de datos'!$L$71:$L$72</c:f>
              <c:numCache>
                <c:formatCode>General</c:formatCode>
                <c:ptCount val="2"/>
                <c:pt idx="0">
                  <c:v>-0.35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45-440E-8DD7-E68A53DB3312}"/>
            </c:ext>
          </c:extLst>
        </c:ser>
        <c:ser>
          <c:idx val="4"/>
          <c:order val="4"/>
          <c:tx>
            <c:v>cota RN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DDE4C59-D205-4138-9504-298AA6F963B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datos'!$K$71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datos'!$L$71</c:f>
              <c:numCache>
                <c:formatCode>General</c:formatCode>
                <c:ptCount val="1"/>
                <c:pt idx="0">
                  <c:v>-0.35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datos'!$J$71</c15:f>
                <c15:dlblRangeCache>
                  <c:ptCount val="1"/>
                  <c:pt idx="0">
                    <c:v>RN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7645-440E-8DD7-E68A53DB3312}"/>
            </c:ext>
          </c:extLst>
        </c:ser>
        <c:ser>
          <c:idx val="5"/>
          <c:order val="5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datos'!$K$74:$K$87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'base de datos'!$L$74:$L$87</c:f>
              <c:numCache>
                <c:formatCode>General</c:formatCode>
                <c:ptCount val="14"/>
                <c:pt idx="0">
                  <c:v>-0.35</c:v>
                </c:pt>
                <c:pt idx="1">
                  <c:v>-0.6</c:v>
                </c:pt>
                <c:pt idx="3">
                  <c:v>-0.5</c:v>
                </c:pt>
                <c:pt idx="4">
                  <c:v>-0.5</c:v>
                </c:pt>
                <c:pt idx="6">
                  <c:v>-0.35</c:v>
                </c:pt>
                <c:pt idx="7">
                  <c:v>-0.6</c:v>
                </c:pt>
                <c:pt idx="9">
                  <c:v>0.7</c:v>
                </c:pt>
                <c:pt idx="10">
                  <c:v>0.79999999999999993</c:v>
                </c:pt>
                <c:pt idx="12">
                  <c:v>0.7</c:v>
                </c:pt>
                <c:pt idx="13">
                  <c:v>0.79999999999999993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45-440E-8DD7-E68A53DB3312}"/>
            </c:ext>
          </c:extLst>
        </c:ser>
        <c:ser>
          <c:idx val="6"/>
          <c:order val="6"/>
          <c:tx>
            <c:v>cota long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ADC1E12-4D2D-41E8-AB21-9F320C5567C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datos'!$K$89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datos'!$L$89</c:f>
              <c:numCache>
                <c:formatCode>General</c:formatCode>
                <c:ptCount val="1"/>
                <c:pt idx="0">
                  <c:v>-0.45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datos'!$J$89</c15:f>
                <c15:dlblRangeCache>
                  <c:ptCount val="1"/>
                  <c:pt idx="0">
                    <c:v>T= 2.20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7645-440E-8DD7-E68A53DB3312}"/>
            </c:ext>
          </c:extLst>
        </c:ser>
        <c:ser>
          <c:idx val="7"/>
          <c:order val="7"/>
          <c:tx>
            <c:v>cota Wnu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664AE3B-6DCB-48E8-8147-2B5628D8BC92}" type="CELLRANGE"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accent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30883838383838"/>
                      <c:h val="8.00805555555555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datos'!$K$47</c:f>
              <c:numCache>
                <c:formatCode>General</c:formatCode>
                <c:ptCount val="1"/>
                <c:pt idx="0">
                  <c:v>2.2000000000000002</c:v>
                </c:pt>
              </c:numCache>
            </c:numRef>
          </c:xVal>
          <c:yVal>
            <c:numRef>
              <c:f>'base de datos'!$L$47</c:f>
              <c:numCache>
                <c:formatCode>General</c:formatCode>
                <c:ptCount val="1"/>
                <c:pt idx="0">
                  <c:v>-0.19999999999999998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datos'!$J$47</c15:f>
                <c15:dlblRangeCache>
                  <c:ptCount val="1"/>
                  <c:pt idx="0">
                    <c:v>Wnu= 53.37 tn/m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7645-440E-8DD7-E68A53DB3312}"/>
            </c:ext>
          </c:extLst>
        </c:ser>
        <c:ser>
          <c:idx val="8"/>
          <c:order val="8"/>
          <c:tx>
            <c:v>b</c:v>
          </c:tx>
          <c:spPr>
            <a:ln w="12700" cap="rnd">
              <a:solidFill>
                <a:srgbClr val="FF0000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'base de datos'!$K$91:$K$98</c:f>
              <c:numCache>
                <c:formatCode>General</c:formatCode>
                <c:ptCount val="8"/>
                <c:pt idx="0">
                  <c:v>0</c:v>
                </c:pt>
                <c:pt idx="1">
                  <c:v>0.90000000000000013</c:v>
                </c:pt>
                <c:pt idx="3">
                  <c:v>0.90000000000000013</c:v>
                </c:pt>
                <c:pt idx="4">
                  <c:v>1.3000000000000003</c:v>
                </c:pt>
                <c:pt idx="6">
                  <c:v>1.3000000000000003</c:v>
                </c:pt>
                <c:pt idx="7">
                  <c:v>2.2000000000000002</c:v>
                </c:pt>
              </c:numCache>
            </c:numRef>
          </c:xVal>
          <c:yVal>
            <c:numRef>
              <c:f>'base de datos'!$L$91:$L$98</c:f>
              <c:numCache>
                <c:formatCode>General</c:formatCode>
                <c:ptCount val="8"/>
                <c:pt idx="0">
                  <c:v>0.75</c:v>
                </c:pt>
                <c:pt idx="1">
                  <c:v>0.75</c:v>
                </c:pt>
                <c:pt idx="3">
                  <c:v>0.75</c:v>
                </c:pt>
                <c:pt idx="4">
                  <c:v>0.75</c:v>
                </c:pt>
                <c:pt idx="6">
                  <c:v>0.75</c:v>
                </c:pt>
                <c:pt idx="7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645-440E-8DD7-E68A53DB3312}"/>
            </c:ext>
          </c:extLst>
        </c:ser>
        <c:ser>
          <c:idx val="9"/>
          <c:order val="9"/>
          <c:tx>
            <c:v>col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5943C63-4AFF-4007-A337-61C880C045D1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datos'!$K$100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datos'!$L$100</c:f>
              <c:numCache>
                <c:formatCode>General</c:formatCode>
                <c:ptCount val="1"/>
                <c:pt idx="0">
                  <c:v>0.65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datos'!$J$100</c15:f>
                <c15:dlblRangeCache>
                  <c:ptCount val="1"/>
                  <c:pt idx="0">
                    <c:v>0.40m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7645-440E-8DD7-E68A53DB3312}"/>
            </c:ext>
          </c:extLst>
        </c:ser>
        <c:ser>
          <c:idx val="10"/>
          <c:order val="10"/>
          <c:tx>
            <c:v>cota b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C94F626-4060-4B1D-BF4F-5C7C625CB4E8}" type="CELLRANGE">
                      <a:rPr lang="en-US"/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datos'!$K$101</c:f>
              <c:numCache>
                <c:formatCode>General</c:formatCode>
                <c:ptCount val="1"/>
                <c:pt idx="0">
                  <c:v>1.7500000000000004</c:v>
                </c:pt>
              </c:numCache>
            </c:numRef>
          </c:xVal>
          <c:yVal>
            <c:numRef>
              <c:f>'base de datos'!$L$101</c:f>
              <c:numCache>
                <c:formatCode>General</c:formatCode>
                <c:ptCount val="1"/>
                <c:pt idx="0">
                  <c:v>0.65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datos'!$J$101</c15:f>
                <c15:dlblRangeCache>
                  <c:ptCount val="1"/>
                  <c:pt idx="0">
                    <c:v>b= 0.90m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7645-440E-8DD7-E68A53DB3312}"/>
            </c:ext>
          </c:extLst>
        </c:ser>
        <c:ser>
          <c:idx val="11"/>
          <c:order val="11"/>
          <c:tx>
            <c:v>Pu</c:v>
          </c:tx>
          <c:spPr>
            <a:ln w="19050" cap="rnd">
              <a:solidFill>
                <a:srgbClr val="C000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'base de datos'!$K$104:$K$105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1.1000000000000001</c:v>
                </c:pt>
              </c:numCache>
            </c:numRef>
          </c:xVal>
          <c:yVal>
            <c:numRef>
              <c:f>'base de datos'!$L$104:$L$105</c:f>
              <c:numCache>
                <c:formatCode>General</c:formatCode>
                <c:ptCount val="2"/>
                <c:pt idx="0">
                  <c:v>1.0499999999999998</c:v>
                </c:pt>
                <c:pt idx="1">
                  <c:v>1.5499999999999998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645-440E-8DD7-E68A53DB3312}"/>
            </c:ext>
          </c:extLst>
        </c:ser>
        <c:ser>
          <c:idx val="12"/>
          <c:order val="12"/>
          <c:tx>
            <c:v>cota Pu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2AD2FD9-D9D2-4562-A308-8A23ECA336EA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datos'!$K$105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datos'!$L$105</c:f>
              <c:numCache>
                <c:formatCode>General</c:formatCode>
                <c:ptCount val="1"/>
                <c:pt idx="0">
                  <c:v>1.5499999999999998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datos'!$J$105</c15:f>
                <c15:dlblRangeCache>
                  <c:ptCount val="1"/>
                  <c:pt idx="0">
                    <c:v>Pu= 117.42tn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7645-440E-8DD7-E68A53DB3312}"/>
            </c:ext>
          </c:extLst>
        </c:ser>
        <c:ser>
          <c:idx val="13"/>
          <c:order val="13"/>
          <c:tx>
            <c:v>ØTransversal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datos'!$K$107:$K$108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2.125</c:v>
                </c:pt>
              </c:numCache>
            </c:numRef>
          </c:xVal>
          <c:yVal>
            <c:numRef>
              <c:f>'base de datos'!$L$107:$L$108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645-440E-8DD7-E68A53DB3312}"/>
            </c:ext>
          </c:extLst>
        </c:ser>
        <c:ser>
          <c:idx val="14"/>
          <c:order val="14"/>
          <c:tx>
            <c:v>Øtran #barras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86DBA4A-2B43-4FA5-9547-BB2861FC2BB2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datos'!$K$110</c:f>
              <c:numCache>
                <c:formatCode>General</c:formatCode>
                <c:ptCount val="1"/>
                <c:pt idx="0">
                  <c:v>0.91500000000000004</c:v>
                </c:pt>
              </c:numCache>
            </c:numRef>
          </c:xVal>
          <c:yVal>
            <c:numRef>
              <c:f>'base de datos'!$L$110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datos'!$J$110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645-440E-8DD7-E68A53DB3312}"/>
            </c:ext>
          </c:extLst>
        </c:ser>
        <c:ser>
          <c:idx val="15"/>
          <c:order val="15"/>
          <c:tx>
            <c:v>Øtran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31B0A33-E3F6-40B7-8BDA-B46A26CC6BB9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datos'!$K$111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datos'!$J$111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7645-440E-8DD7-E68A53DB3312}"/>
            </c:ext>
          </c:extLst>
        </c:ser>
        <c:ser>
          <c:idx val="16"/>
          <c:order val="16"/>
          <c:tx>
            <c:v>Øtran Sreq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771D984-F4F0-47BB-A984-B760F8315D53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datos'!$K$112</c:f>
              <c:numCache>
                <c:formatCode>General</c:formatCode>
                <c:ptCount val="1"/>
                <c:pt idx="0">
                  <c:v>1.355</c:v>
                </c:pt>
              </c:numCache>
            </c:numRef>
          </c:xVal>
          <c:yVal>
            <c:numRef>
              <c:f>'base de datos'!$L$112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datos'!$J$112</c15:f>
                <c15:dlblRangeCache>
                  <c:ptCount val="1"/>
                  <c:pt idx="0">
                    <c:v>@0.18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7645-440E-8DD7-E68A53DB3312}"/>
            </c:ext>
          </c:extLst>
        </c:ser>
        <c:ser>
          <c:idx val="17"/>
          <c:order val="17"/>
          <c:tx>
            <c:v>cota b izq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21BA5D5-B94B-426C-A1DC-0C29CEA9FC9D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645-440E-8DD7-E68A53DB3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datos'!$K$102</c:f>
              <c:numCache>
                <c:formatCode>General</c:formatCode>
                <c:ptCount val="1"/>
                <c:pt idx="0">
                  <c:v>0.45000000000000007</c:v>
                </c:pt>
              </c:numCache>
            </c:numRef>
          </c:xVal>
          <c:yVal>
            <c:numRef>
              <c:f>'base de datos'!$L$102</c:f>
              <c:numCache>
                <c:formatCode>General</c:formatCode>
                <c:ptCount val="1"/>
                <c:pt idx="0">
                  <c:v>0.65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datos'!$J$102</c15:f>
                <c15:dlblRangeCache>
                  <c:ptCount val="1"/>
                  <c:pt idx="0">
                    <c:v>b= 0.90m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7645-440E-8DD7-E68A53DB3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917759"/>
        <c:axId val="544103391"/>
      </c:scatterChart>
      <c:valAx>
        <c:axId val="424917759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44103391"/>
        <c:crosses val="autoZero"/>
        <c:crossBetween val="midCat"/>
      </c:valAx>
      <c:valAx>
        <c:axId val="544103391"/>
        <c:scaling>
          <c:orientation val="minMax"/>
          <c:max val="3.25"/>
          <c:min val="-0.75000000000000011"/>
        </c:scaling>
        <c:delete val="0"/>
        <c:axPos val="l"/>
        <c:numFmt formatCode="General" sourceLinked="1"/>
        <c:majorTickMark val="out"/>
        <c:minorTickMark val="none"/>
        <c:tickLblPos val="nextTo"/>
        <c:crossAx val="424917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50757575757573E-2"/>
          <c:y val="1.761489898989899E-2"/>
          <c:w val="0.86230732323232329"/>
          <c:h val="0.9240219696969697"/>
        </c:manualLayout>
      </c:layout>
      <c:scatterChart>
        <c:scatterStyle val="lineMarker"/>
        <c:varyColors val="0"/>
        <c:ser>
          <c:idx val="0"/>
          <c:order val="0"/>
          <c:tx>
            <c:v>Planta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datos'!$N$5:$N$30</c:f>
              <c:numCache>
                <c:formatCode>General</c:formatCode>
                <c:ptCount val="26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0.65</c:v>
                </c:pt>
                <c:pt idx="15">
                  <c:v>0.65</c:v>
                </c:pt>
                <c:pt idx="16">
                  <c:v>0.65</c:v>
                </c:pt>
                <c:pt idx="18">
                  <c:v>0.65</c:v>
                </c:pt>
                <c:pt idx="19">
                  <c:v>0</c:v>
                </c:pt>
                <c:pt idx="21">
                  <c:v>0.22500000000000001</c:v>
                </c:pt>
                <c:pt idx="22">
                  <c:v>0.42500000000000004</c:v>
                </c:pt>
                <c:pt idx="24">
                  <c:v>0.32500000000000001</c:v>
                </c:pt>
                <c:pt idx="25">
                  <c:v>0.32500000000000001</c:v>
                </c:pt>
              </c:numCache>
            </c:numRef>
          </c:xVal>
          <c:yVal>
            <c:numRef>
              <c:f>'base de datos'!$O$5:$O$30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9">
                  <c:v>2.2000000000000002</c:v>
                </c:pt>
                <c:pt idx="10">
                  <c:v>0</c:v>
                </c:pt>
                <c:pt idx="12">
                  <c:v>0.90000000000000013</c:v>
                </c:pt>
                <c:pt idx="13">
                  <c:v>0.90000000000000013</c:v>
                </c:pt>
                <c:pt idx="15">
                  <c:v>0.90000000000000013</c:v>
                </c:pt>
                <c:pt idx="16">
                  <c:v>1.3000000000000003</c:v>
                </c:pt>
                <c:pt idx="18">
                  <c:v>1.3000000000000003</c:v>
                </c:pt>
                <c:pt idx="19">
                  <c:v>1.3000000000000003</c:v>
                </c:pt>
                <c:pt idx="21">
                  <c:v>1.1000000000000001</c:v>
                </c:pt>
                <c:pt idx="22">
                  <c:v>1.1000000000000001</c:v>
                </c:pt>
                <c:pt idx="24">
                  <c:v>1.0250000000000001</c:v>
                </c:pt>
                <c:pt idx="25">
                  <c:v>1.175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C-438F-8533-70EB28D03675}"/>
            </c:ext>
          </c:extLst>
        </c:ser>
        <c:ser>
          <c:idx val="1"/>
          <c:order val="1"/>
          <c:tx>
            <c:v>h col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286AB5B-D2FC-4754-AC83-6A92819E65A7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datos'!$N$32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'base de datos'!$O$32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datos'!$M$32</c15:f>
                <c15:dlblRangeCache>
                  <c:ptCount val="1"/>
                  <c:pt idx="0">
                    <c:v>0.40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2A6C-438F-8533-70EB28D03675}"/>
            </c:ext>
          </c:extLst>
        </c:ser>
        <c:ser>
          <c:idx val="2"/>
          <c:order val="2"/>
          <c:tx>
            <c:v>b col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9BA299D-0FB6-48A3-ADC8-E080BE7281A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datos'!$N$33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datos'!$O$33</c:f>
              <c:numCache>
                <c:formatCode>General</c:formatCode>
                <c:ptCount val="1"/>
                <c:pt idx="0">
                  <c:v>0.95000000000000018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datos'!$M$33</c15:f>
                <c15:dlblRangeCache>
                  <c:ptCount val="1"/>
                  <c:pt idx="0">
                    <c:v>0.65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A6C-438F-8533-70EB28D03675}"/>
            </c:ext>
          </c:extLst>
        </c:ser>
        <c:ser>
          <c:idx val="3"/>
          <c:order val="3"/>
          <c:tx>
            <c:v>ØExcentrico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datos'!$N$35:$N$51</c:f>
              <c:numCache>
                <c:formatCode>General</c:formatCode>
                <c:ptCount val="17"/>
                <c:pt idx="0">
                  <c:v>7.4999999999999997E-2</c:v>
                </c:pt>
                <c:pt idx="1">
                  <c:v>7.4999999999999997E-2</c:v>
                </c:pt>
                <c:pt idx="3">
                  <c:v>7.4999999999999997E-2</c:v>
                </c:pt>
                <c:pt idx="4">
                  <c:v>1.05</c:v>
                </c:pt>
                <c:pt idx="6">
                  <c:v>1.05</c:v>
                </c:pt>
                <c:pt idx="7">
                  <c:v>1.05</c:v>
                </c:pt>
                <c:pt idx="9">
                  <c:v>0.87500000000000011</c:v>
                </c:pt>
                <c:pt idx="10">
                  <c:v>1.0250000000000001</c:v>
                </c:pt>
                <c:pt idx="12">
                  <c:v>1.0250000000000001</c:v>
                </c:pt>
                <c:pt idx="13">
                  <c:v>1.0250000000000001</c:v>
                </c:pt>
                <c:pt idx="15">
                  <c:v>1.0250000000000001</c:v>
                </c:pt>
                <c:pt idx="16">
                  <c:v>0.87500000000000011</c:v>
                </c:pt>
              </c:numCache>
            </c:numRef>
          </c:xVal>
          <c:yVal>
            <c:numRef>
              <c:f>'base de datos'!$O$35:$O$51</c:f>
              <c:numCache>
                <c:formatCode>General</c:formatCode>
                <c:ptCount val="17"/>
                <c:pt idx="0">
                  <c:v>0.22500000000000001</c:v>
                </c:pt>
                <c:pt idx="1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6">
                  <c:v>7.4999999999999997E-2</c:v>
                </c:pt>
                <c:pt idx="7">
                  <c:v>0.22500000000000001</c:v>
                </c:pt>
                <c:pt idx="9">
                  <c:v>0.05</c:v>
                </c:pt>
                <c:pt idx="10">
                  <c:v>0.05</c:v>
                </c:pt>
                <c:pt idx="12">
                  <c:v>0.05</c:v>
                </c:pt>
                <c:pt idx="13">
                  <c:v>2.125</c:v>
                </c:pt>
                <c:pt idx="15">
                  <c:v>2.125</c:v>
                </c:pt>
                <c:pt idx="16">
                  <c:v>2.125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A6C-438F-8533-70EB28D03675}"/>
            </c:ext>
          </c:extLst>
        </c:ser>
        <c:ser>
          <c:idx val="4"/>
          <c:order val="4"/>
          <c:tx>
            <c:v>Øexc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FD6C93A-BA1A-4F01-9B74-A93EBC3B9920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datos'!$N$54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'base de datos'!$O$54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datos'!$M$54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2A6C-438F-8533-70EB28D03675}"/>
            </c:ext>
          </c:extLst>
        </c:ser>
        <c:ser>
          <c:idx val="5"/>
          <c:order val="5"/>
          <c:tx>
            <c:v>Øexc #barras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D5AB81E-ED90-4508-B55A-347795ABDF0A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datos'!$N$53</c:f>
              <c:numCache>
                <c:formatCode>General</c:formatCode>
                <c:ptCount val="1"/>
                <c:pt idx="0">
                  <c:v>0.315</c:v>
                </c:pt>
              </c:numCache>
            </c:numRef>
          </c:xVal>
          <c:yVal>
            <c:numRef>
              <c:f>'base de datos'!$O$53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datos'!$M$53</c15:f>
                <c15:dlblRangeCache>
                  <c:ptCount val="1"/>
                  <c:pt idx="0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2A6C-438F-8533-70EB28D03675}"/>
            </c:ext>
          </c:extLst>
        </c:ser>
        <c:ser>
          <c:idx val="6"/>
          <c:order val="6"/>
          <c:tx>
            <c:v>Øexc Sreq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C754FD8-C4C1-483A-AB22-9D5580087AF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datos'!$N$55</c:f>
              <c:numCache>
                <c:formatCode>General</c:formatCode>
                <c:ptCount val="1"/>
                <c:pt idx="0">
                  <c:v>0.755</c:v>
                </c:pt>
              </c:numCache>
            </c:numRef>
          </c:xVal>
          <c:yVal>
            <c:numRef>
              <c:f>'base de datos'!$O$55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datos'!$M$55</c15:f>
                <c15:dlblRangeCache>
                  <c:ptCount val="1"/>
                  <c:pt idx="0">
                    <c:v>@0.17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A6C-438F-8533-70EB28D03675}"/>
            </c:ext>
          </c:extLst>
        </c:ser>
        <c:ser>
          <c:idx val="7"/>
          <c:order val="7"/>
          <c:tx>
            <c:v>Øtran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3D6363F-D9EE-4A62-9AB0-7DAA1B6ED8C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datos'!$N$58</c:f>
              <c:numCache>
                <c:formatCode>General</c:formatCode>
                <c:ptCount val="1"/>
                <c:pt idx="0">
                  <c:v>1.0750000000000002</c:v>
                </c:pt>
              </c:numCache>
            </c:numRef>
          </c:xVal>
          <c:yVal>
            <c:numRef>
              <c:f>'base de datos'!$O$58</c:f>
              <c:numCache>
                <c:formatCode>General</c:formatCode>
                <c:ptCount val="1"/>
                <c:pt idx="0">
                  <c:v>1.05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datos'!$M$58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A6C-438F-8533-70EB28D03675}"/>
            </c:ext>
          </c:extLst>
        </c:ser>
        <c:ser>
          <c:idx val="8"/>
          <c:order val="8"/>
          <c:tx>
            <c:v>Øtran #barras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CDFFA87-3629-491F-B17E-C4DD03516353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datos'!$N$57</c:f>
              <c:numCache>
                <c:formatCode>General</c:formatCode>
                <c:ptCount val="1"/>
                <c:pt idx="0">
                  <c:v>1.0750000000000002</c:v>
                </c:pt>
              </c:numCache>
            </c:numRef>
          </c:xVal>
          <c:yVal>
            <c:numRef>
              <c:f>'base de datos'!$O$57</c:f>
              <c:numCache>
                <c:formatCode>General</c:formatCode>
                <c:ptCount val="1"/>
                <c:pt idx="0">
                  <c:v>0.86499999999999999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datos'!$M$57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2A6C-438F-8533-70EB28D03675}"/>
            </c:ext>
          </c:extLst>
        </c:ser>
        <c:ser>
          <c:idx val="9"/>
          <c:order val="9"/>
          <c:tx>
            <c:v>Øtran Sreq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6E80BB1-036A-469E-B2A7-772A79F50E24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datos'!$N$59</c:f>
              <c:numCache>
                <c:formatCode>General</c:formatCode>
                <c:ptCount val="1"/>
                <c:pt idx="0">
                  <c:v>1.0750000000000002</c:v>
                </c:pt>
              </c:numCache>
            </c:numRef>
          </c:xVal>
          <c:yVal>
            <c:numRef>
              <c:f>'base de datos'!$O$59</c:f>
              <c:numCache>
                <c:formatCode>General</c:formatCode>
                <c:ptCount val="1"/>
                <c:pt idx="0">
                  <c:v>1.3050000000000002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datos'!$M$59</c15:f>
                <c15:dlblRangeCache>
                  <c:ptCount val="1"/>
                  <c:pt idx="0">
                    <c:v>@0.18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2A6C-438F-8533-70EB28D03675}"/>
            </c:ext>
          </c:extLst>
        </c:ser>
        <c:ser>
          <c:idx val="10"/>
          <c:order val="10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datos'!$N$61:$N$77</c:f>
              <c:numCache>
                <c:formatCode>General</c:formatCode>
                <c:ptCount val="17"/>
                <c:pt idx="0">
                  <c:v>1.1500000000000001</c:v>
                </c:pt>
                <c:pt idx="1">
                  <c:v>1.2500000000000002</c:v>
                </c:pt>
                <c:pt idx="3">
                  <c:v>1.2000000000000002</c:v>
                </c:pt>
                <c:pt idx="4">
                  <c:v>1.2000000000000002</c:v>
                </c:pt>
                <c:pt idx="6">
                  <c:v>1.1500000000000001</c:v>
                </c:pt>
                <c:pt idx="7">
                  <c:v>1.2500000000000002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</c:numCache>
            </c:numRef>
          </c:xVal>
          <c:yVal>
            <c:numRef>
              <c:f>'base de datos'!$O$61:$O$77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9">
                  <c:v>2.3000000000000003</c:v>
                </c:pt>
                <c:pt idx="10">
                  <c:v>2.4000000000000004</c:v>
                </c:pt>
                <c:pt idx="12">
                  <c:v>2.35</c:v>
                </c:pt>
                <c:pt idx="13">
                  <c:v>2.35</c:v>
                </c:pt>
                <c:pt idx="15">
                  <c:v>2.3000000000000003</c:v>
                </c:pt>
                <c:pt idx="16">
                  <c:v>2.4000000000000004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A6C-438F-8533-70EB28D03675}"/>
            </c:ext>
          </c:extLst>
        </c:ser>
        <c:ser>
          <c:idx val="11"/>
          <c:order val="11"/>
          <c:tx>
            <c:v>cota H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1058E44-F248-478C-BC8E-6055EAF7FF6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A6C-438F-8533-70EB28D0367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800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datos'!$N$79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datos'!$O$79</c:f>
              <c:numCache>
                <c:formatCode>General</c:formatCode>
                <c:ptCount val="1"/>
                <c:pt idx="0">
                  <c:v>2.35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datos'!$M$79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2A6C-438F-8533-70EB28D03675}"/>
            </c:ext>
          </c:extLst>
        </c:ser>
        <c:ser>
          <c:idx val="12"/>
          <c:order val="12"/>
          <c:tx>
            <c:v>cota V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85E942F-59B6-4C0F-A12B-5D08736AB57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A6C-438F-8533-70EB28D0367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96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datos'!$N$80</c:f>
              <c:numCache>
                <c:formatCode>General</c:formatCode>
                <c:ptCount val="1"/>
                <c:pt idx="0">
                  <c:v>1.2750000000000001</c:v>
                </c:pt>
              </c:numCache>
            </c:numRef>
          </c:xVal>
          <c:yVal>
            <c:numRef>
              <c:f>'base de datos'!$O$80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datos'!$M$80</c15:f>
                <c15:dlblRangeCache>
                  <c:ptCount val="1"/>
                  <c:pt idx="0">
                    <c:v>2.20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2A6C-438F-8533-70EB28D03675}"/>
            </c:ext>
          </c:extLst>
        </c:ser>
        <c:ser>
          <c:idx val="13"/>
          <c:order val="13"/>
          <c:tx>
            <c:v>PLANTA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E766249-9DA6-47A3-B60D-E6118E4F6E97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2A6C-438F-8533-70EB28D0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datos'!$N$81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datos'!$O$81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datos'!$M$81</c15:f>
                <c15:dlblRangeCache>
                  <c:ptCount val="1"/>
                  <c:pt idx="0">
                    <c:v>PLANTA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A6C-438F-8533-70EB28D0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789183"/>
        <c:axId val="420763391"/>
      </c:scatterChart>
      <c:valAx>
        <c:axId val="500789183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763391"/>
        <c:crosses val="autoZero"/>
        <c:crossBetween val="midCat"/>
        <c:majorUnit val="0.5"/>
      </c:valAx>
      <c:valAx>
        <c:axId val="4207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0789183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Elevación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31"/>
            <c:bubble3D val="0"/>
            <c:spPr>
              <a:ln w="158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042-47B6-BE90-42454AFF1F21}"/>
              </c:ext>
            </c:extLst>
          </c:dPt>
          <c:dPt>
            <c:idx val="34"/>
            <c:bubble3D val="0"/>
            <c:spPr>
              <a:ln w="158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42-47B6-BE90-42454AFF1F21}"/>
              </c:ext>
            </c:extLst>
          </c:dPt>
          <c:dPt>
            <c:idx val="37"/>
            <c:bubble3D val="0"/>
            <c:spPr>
              <a:ln w="158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42-47B6-BE90-42454AFF1F21}"/>
              </c:ext>
            </c:extLst>
          </c:dPt>
          <c:xVal>
            <c:numRef>
              <c:f>'base de datos'!$Q$5:$Q$42</c:f>
              <c:numCache>
                <c:formatCode>General</c:formatCode>
                <c:ptCount val="38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0.65</c:v>
                </c:pt>
                <c:pt idx="9">
                  <c:v>0.65</c:v>
                </c:pt>
                <c:pt idx="10">
                  <c:v>0.65</c:v>
                </c:pt>
                <c:pt idx="12">
                  <c:v>0.75</c:v>
                </c:pt>
                <c:pt idx="13">
                  <c:v>0.375</c:v>
                </c:pt>
                <c:pt idx="15">
                  <c:v>0.375</c:v>
                </c:pt>
                <c:pt idx="16">
                  <c:v>0.375</c:v>
                </c:pt>
                <c:pt idx="18">
                  <c:v>0.375</c:v>
                </c:pt>
                <c:pt idx="19">
                  <c:v>0.27500000000000002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4">
                  <c:v>0.27500000000000002</c:v>
                </c:pt>
                <c:pt idx="25">
                  <c:v>-0.1</c:v>
                </c:pt>
                <c:pt idx="27">
                  <c:v>0</c:v>
                </c:pt>
                <c:pt idx="28">
                  <c:v>0</c:v>
                </c:pt>
                <c:pt idx="30">
                  <c:v>0.65</c:v>
                </c:pt>
                <c:pt idx="31">
                  <c:v>1.3</c:v>
                </c:pt>
                <c:pt idx="33">
                  <c:v>1.3</c:v>
                </c:pt>
                <c:pt idx="34">
                  <c:v>1.3</c:v>
                </c:pt>
                <c:pt idx="36">
                  <c:v>1.3</c:v>
                </c:pt>
                <c:pt idx="37">
                  <c:v>0.65</c:v>
                </c:pt>
              </c:numCache>
            </c:numRef>
          </c:xVal>
          <c:yVal>
            <c:numRef>
              <c:f>'base de datos'!$R$5:$R$42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1.85</c:v>
                </c:pt>
                <c:pt idx="18">
                  <c:v>1.85</c:v>
                </c:pt>
                <c:pt idx="19">
                  <c:v>2.15</c:v>
                </c:pt>
                <c:pt idx="21">
                  <c:v>2.15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0</c:v>
                </c:pt>
                <c:pt idx="30">
                  <c:v>1.2</c:v>
                </c:pt>
                <c:pt idx="31">
                  <c:v>1.2</c:v>
                </c:pt>
                <c:pt idx="33">
                  <c:v>1.2</c:v>
                </c:pt>
                <c:pt idx="34">
                  <c:v>1.3</c:v>
                </c:pt>
                <c:pt idx="36">
                  <c:v>1.3</c:v>
                </c:pt>
                <c:pt idx="37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2-47B6-BE90-42454AFF1F21}"/>
            </c:ext>
          </c:extLst>
        </c:ser>
        <c:ser>
          <c:idx val="1"/>
          <c:order val="1"/>
          <c:tx>
            <c:v>N.F.P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C039FE6-CBA4-4254-A4F5-4D12C29C401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042-47B6-BE90-42454AFF1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datos'!$Q$44</c:f>
              <c:numCache>
                <c:formatCode>General</c:formatCode>
                <c:ptCount val="1"/>
                <c:pt idx="0">
                  <c:v>0.97500000000000009</c:v>
                </c:pt>
              </c:numCache>
            </c:numRef>
          </c:xVal>
          <c:yVal>
            <c:numRef>
              <c:f>'base de datos'!$R$44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datos'!$P$44</c15:f>
                <c15:dlblRangeCache>
                  <c:ptCount val="1"/>
                  <c:pt idx="0">
                    <c:v>N.F.P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042-47B6-BE90-42454AFF1F21}"/>
            </c:ext>
          </c:extLst>
        </c:ser>
        <c:ser>
          <c:idx val="2"/>
          <c:order val="2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datos'!$Q$46:$Q$71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9">
                  <c:v>1.25</c:v>
                </c:pt>
                <c:pt idx="10">
                  <c:v>1.35</c:v>
                </c:pt>
                <c:pt idx="12">
                  <c:v>1.3</c:v>
                </c:pt>
                <c:pt idx="13">
                  <c:v>1.3</c:v>
                </c:pt>
                <c:pt idx="15">
                  <c:v>1.35</c:v>
                </c:pt>
                <c:pt idx="16">
                  <c:v>1.25</c:v>
                </c:pt>
                <c:pt idx="18">
                  <c:v>1.45</c:v>
                </c:pt>
                <c:pt idx="19">
                  <c:v>1.55</c:v>
                </c:pt>
                <c:pt idx="21">
                  <c:v>1.5</c:v>
                </c:pt>
                <c:pt idx="22">
                  <c:v>1.5</c:v>
                </c:pt>
                <c:pt idx="24">
                  <c:v>1.55</c:v>
                </c:pt>
                <c:pt idx="25">
                  <c:v>1.45</c:v>
                </c:pt>
              </c:numCache>
            </c:numRef>
          </c:xVal>
          <c:yVal>
            <c:numRef>
              <c:f>'base de datos'!$R$46:$R$71</c:f>
              <c:numCache>
                <c:formatCode>General</c:formatCode>
                <c:ptCount val="26"/>
                <c:pt idx="0">
                  <c:v>-0.1</c:v>
                </c:pt>
                <c:pt idx="1">
                  <c:v>-0.2</c:v>
                </c:pt>
                <c:pt idx="3">
                  <c:v>-0.15000000000000002</c:v>
                </c:pt>
                <c:pt idx="4">
                  <c:v>-0.15000000000000002</c:v>
                </c:pt>
                <c:pt idx="6">
                  <c:v>-0.1</c:v>
                </c:pt>
                <c:pt idx="7">
                  <c:v>-0.2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0.6</c:v>
                </c:pt>
                <c:pt idx="15">
                  <c:v>0.6</c:v>
                </c:pt>
                <c:pt idx="16">
                  <c:v>0.6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1.2</c:v>
                </c:pt>
                <c:pt idx="24">
                  <c:v>1.2</c:v>
                </c:pt>
                <c:pt idx="25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42-47B6-BE90-42454AFF1F21}"/>
            </c:ext>
          </c:extLst>
        </c:ser>
        <c:ser>
          <c:idx val="3"/>
          <c:order val="3"/>
          <c:tx>
            <c:v>Bz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19C8031-C07E-4E56-B44D-1A7BCD91514D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042-47B6-BE90-42454AFF1F2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datos'!$Q$73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datos'!$R$73</c:f>
              <c:numCache>
                <c:formatCode>General</c:formatCode>
                <c:ptCount val="1"/>
                <c:pt idx="0">
                  <c:v>-0.15000000000000002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datos'!$P$73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F042-47B6-BE90-42454AFF1F21}"/>
            </c:ext>
          </c:extLst>
        </c:ser>
        <c:ser>
          <c:idx val="4"/>
          <c:order val="4"/>
          <c:tx>
            <c:v>hz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A6C094C-AA01-4D67-BF8F-9C0ECC80475D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042-47B6-BE90-42454AFF1F2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datos'!$Q$74</c:f>
              <c:numCache>
                <c:formatCode>General</c:formatCode>
                <c:ptCount val="1"/>
                <c:pt idx="0">
                  <c:v>1.3</c:v>
                </c:pt>
              </c:numCache>
            </c:numRef>
          </c:xVal>
          <c:yVal>
            <c:numRef>
              <c:f>'base de datos'!$R$74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datos'!$P$74</c15:f>
                <c15:dlblRangeCache>
                  <c:ptCount val="1"/>
                  <c:pt idx="0">
                    <c:v>0.60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F042-47B6-BE90-42454AFF1F21}"/>
            </c:ext>
          </c:extLst>
        </c:ser>
        <c:ser>
          <c:idx val="5"/>
          <c:order val="5"/>
          <c:tx>
            <c:v>Df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E773062-9243-4042-B420-C20E991A57F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F042-47B6-BE90-42454AFF1F2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datos'!$Q$75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'base de datos'!$R$75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datos'!$P$75</c15:f>
                <c15:dlblRangeCache>
                  <c:ptCount val="1"/>
                  <c:pt idx="0">
                    <c:v>1.20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F042-47B6-BE90-42454AFF1F21}"/>
            </c:ext>
          </c:extLst>
        </c:ser>
        <c:ser>
          <c:idx val="6"/>
          <c:order val="6"/>
          <c:tx>
            <c:v>Øexc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datos'!$Q$77:$Q$84</c:f>
              <c:numCache>
                <c:formatCode>General</c:formatCode>
                <c:ptCount val="8"/>
                <c:pt idx="0">
                  <c:v>7.4999999999999997E-2</c:v>
                </c:pt>
                <c:pt idx="1">
                  <c:v>7.4999999999999997E-2</c:v>
                </c:pt>
                <c:pt idx="3">
                  <c:v>7.4999999999999997E-2</c:v>
                </c:pt>
                <c:pt idx="4">
                  <c:v>1.0250000000000001</c:v>
                </c:pt>
                <c:pt idx="6">
                  <c:v>1.0250000000000001</c:v>
                </c:pt>
                <c:pt idx="7">
                  <c:v>1.0250000000000001</c:v>
                </c:pt>
              </c:numCache>
            </c:numRef>
          </c:xVal>
          <c:yVal>
            <c:numRef>
              <c:f>'base de datos'!$R$77:$R$84</c:f>
              <c:numCache>
                <c:formatCode>General</c:formatCode>
                <c:ptCount val="8"/>
                <c:pt idx="0">
                  <c:v>0.17499999999999999</c:v>
                </c:pt>
                <c:pt idx="1">
                  <c:v>9.9999999999999992E-2</c:v>
                </c:pt>
                <c:pt idx="3">
                  <c:v>9.9999999999999992E-2</c:v>
                </c:pt>
                <c:pt idx="4">
                  <c:v>9.9999999999999992E-2</c:v>
                </c:pt>
                <c:pt idx="6">
                  <c:v>9.9999999999999992E-2</c:v>
                </c:pt>
                <c:pt idx="7">
                  <c:v>0.17499999999999999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042-47B6-BE90-42454AFF1F21}"/>
            </c:ext>
          </c:extLst>
        </c:ser>
        <c:ser>
          <c:idx val="7"/>
          <c:order val="7"/>
          <c:tx>
            <c:v>Øtran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'base de datos'!$Q$86:$Q$104</c:f>
              <c:numCache>
                <c:formatCode>General</c:formatCode>
                <c:ptCount val="19"/>
                <c:pt idx="0">
                  <c:v>0.26200000000000001</c:v>
                </c:pt>
                <c:pt idx="2">
                  <c:v>0.44900000000000001</c:v>
                </c:pt>
                <c:pt idx="4">
                  <c:v>0.63600000000000001</c:v>
                </c:pt>
                <c:pt idx="6">
                  <c:v>0.82299999999999995</c:v>
                </c:pt>
                <c:pt idx="8">
                  <c:v>1.0100000000000002</c:v>
                </c:pt>
                <c:pt idx="10">
                  <c:v>0.1</c:v>
                </c:pt>
                <c:pt idx="12">
                  <c:v>0.1</c:v>
                </c:pt>
                <c:pt idx="14">
                  <c:v>0.1</c:v>
                </c:pt>
                <c:pt idx="16">
                  <c:v>0.1</c:v>
                </c:pt>
                <c:pt idx="18">
                  <c:v>0.1</c:v>
                </c:pt>
              </c:numCache>
            </c:numRef>
          </c:xVal>
          <c:yVal>
            <c:numRef>
              <c:f>'base de datos'!$R$86:$R$104</c:f>
              <c:numCache>
                <c:formatCode>General</c:formatCode>
                <c:ptCount val="19"/>
                <c:pt idx="0">
                  <c:v>0.11499999999999999</c:v>
                </c:pt>
                <c:pt idx="2">
                  <c:v>0.11499999999999999</c:v>
                </c:pt>
                <c:pt idx="4">
                  <c:v>0.11499999999999999</c:v>
                </c:pt>
                <c:pt idx="6">
                  <c:v>0.11499999999999999</c:v>
                </c:pt>
                <c:pt idx="8">
                  <c:v>0.11499999999999999</c:v>
                </c:pt>
                <c:pt idx="10">
                  <c:v>0.115</c:v>
                </c:pt>
                <c:pt idx="12">
                  <c:v>0.115</c:v>
                </c:pt>
                <c:pt idx="14">
                  <c:v>0.115</c:v>
                </c:pt>
                <c:pt idx="16">
                  <c:v>0.115</c:v>
                </c:pt>
                <c:pt idx="18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042-47B6-BE90-42454AFF1F21}"/>
            </c:ext>
          </c:extLst>
        </c:ser>
        <c:ser>
          <c:idx val="8"/>
          <c:order val="8"/>
          <c:tx>
            <c:v>Øexc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B7AE778-72FC-430C-99C4-537DA9638259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datos'!$Q$107</c:f>
              <c:numCache>
                <c:formatCode>General</c:formatCode>
                <c:ptCount val="1"/>
                <c:pt idx="0">
                  <c:v>0.35000000000000003</c:v>
                </c:pt>
              </c:numCache>
            </c:numRef>
          </c:xVal>
          <c:yVal>
            <c:numRef>
              <c:f>'base de datos'!$R$107</c:f>
              <c:numCache>
                <c:formatCode>General</c:formatCode>
                <c:ptCount val="1"/>
                <c:pt idx="0">
                  <c:v>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datos'!$P$107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7FBF-4EF1-9802-EC82CA3BFE9A}"/>
            </c:ext>
          </c:extLst>
        </c:ser>
        <c:ser>
          <c:idx val="9"/>
          <c:order val="9"/>
          <c:tx>
            <c:v>Øexc #barras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AF357F1-29FA-430E-9B23-C364B5D3920A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datos'!$Q$106</c:f>
              <c:numCache>
                <c:formatCode>General</c:formatCode>
                <c:ptCount val="1"/>
                <c:pt idx="0">
                  <c:v>0.16500000000000004</c:v>
                </c:pt>
              </c:numCache>
            </c:numRef>
          </c:xVal>
          <c:yVal>
            <c:numRef>
              <c:f>'base de datos'!$R$106</c:f>
              <c:numCache>
                <c:formatCode>General</c:formatCode>
                <c:ptCount val="1"/>
                <c:pt idx="0">
                  <c:v>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datos'!$P$106</c15:f>
                <c15:dlblRangeCache>
                  <c:ptCount val="1"/>
                  <c:pt idx="0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7FBF-4EF1-9802-EC82CA3BFE9A}"/>
            </c:ext>
          </c:extLst>
        </c:ser>
        <c:ser>
          <c:idx val="10"/>
          <c:order val="10"/>
          <c:tx>
            <c:v>Øexc Sreq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0E4AA0A-A8DA-4AC2-BA83-1A016C08430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datos'!$Q$108</c:f>
              <c:numCache>
                <c:formatCode>General</c:formatCode>
                <c:ptCount val="1"/>
                <c:pt idx="0">
                  <c:v>0.60499999999999998</c:v>
                </c:pt>
              </c:numCache>
            </c:numRef>
          </c:xVal>
          <c:yVal>
            <c:numRef>
              <c:f>'base de datos'!$R$108</c:f>
              <c:numCache>
                <c:formatCode>General</c:formatCode>
                <c:ptCount val="1"/>
                <c:pt idx="0">
                  <c:v>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datos'!$P$108</c15:f>
                <c15:dlblRangeCache>
                  <c:ptCount val="1"/>
                  <c:pt idx="0">
                    <c:v>@0.17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7FBF-4EF1-9802-EC82CA3BFE9A}"/>
            </c:ext>
          </c:extLst>
        </c:ser>
        <c:ser>
          <c:idx val="11"/>
          <c:order val="11"/>
          <c:tx>
            <c:v>Ind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datos'!$Q$114:$Q$121</c:f>
              <c:numCache>
                <c:formatCode>General</c:formatCode>
                <c:ptCount val="8"/>
                <c:pt idx="0">
                  <c:v>0.15000000000000002</c:v>
                </c:pt>
                <c:pt idx="1">
                  <c:v>0.30000000000000004</c:v>
                </c:pt>
                <c:pt idx="3">
                  <c:v>0.63600000000000001</c:v>
                </c:pt>
                <c:pt idx="4">
                  <c:v>0.60000000000000009</c:v>
                </c:pt>
                <c:pt idx="6">
                  <c:v>0.82299999999999995</c:v>
                </c:pt>
                <c:pt idx="7">
                  <c:v>0.60000000000000009</c:v>
                </c:pt>
              </c:numCache>
            </c:numRef>
          </c:xVal>
          <c:yVal>
            <c:numRef>
              <c:f>'base de datos'!$R$114:$R$121</c:f>
              <c:numCache>
                <c:formatCode>General</c:formatCode>
                <c:ptCount val="8"/>
                <c:pt idx="0">
                  <c:v>9.9999999999999992E-2</c:v>
                </c:pt>
                <c:pt idx="1">
                  <c:v>0.42499999999999999</c:v>
                </c:pt>
                <c:pt idx="3">
                  <c:v>0.11499999999999999</c:v>
                </c:pt>
                <c:pt idx="4">
                  <c:v>0.25</c:v>
                </c:pt>
                <c:pt idx="6">
                  <c:v>0.11499999999999999</c:v>
                </c:pt>
                <c:pt idx="7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FBF-4EF1-9802-EC82CA3BFE9A}"/>
            </c:ext>
          </c:extLst>
        </c:ser>
        <c:ser>
          <c:idx val="12"/>
          <c:order val="12"/>
          <c:tx>
            <c:v>Øtran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68C5B33-00ED-4D30-ABCC-9723E051599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datos'!$Q$111</c:f>
              <c:numCache>
                <c:formatCode>General</c:formatCode>
                <c:ptCount val="1"/>
                <c:pt idx="0">
                  <c:v>0.60000000000000009</c:v>
                </c:pt>
              </c:numCache>
            </c:numRef>
          </c:xVal>
          <c:yVal>
            <c:numRef>
              <c:f>'base de datos'!$R$111</c:f>
              <c:numCache>
                <c:formatCode>General</c:formatCode>
                <c:ptCount val="1"/>
                <c:pt idx="0">
                  <c:v>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datos'!$P$111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7FBF-4EF1-9802-EC82CA3BFE9A}"/>
            </c:ext>
          </c:extLst>
        </c:ser>
        <c:ser>
          <c:idx val="13"/>
          <c:order val="13"/>
          <c:tx>
            <c:v>Øtran #barras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D0802FD-776F-47D5-BA52-FF7A634E8293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datos'!$Q$110</c:f>
              <c:numCache>
                <c:formatCode>General</c:formatCode>
                <c:ptCount val="1"/>
                <c:pt idx="0">
                  <c:v>0.41500000000000009</c:v>
                </c:pt>
              </c:numCache>
            </c:numRef>
          </c:xVal>
          <c:yVal>
            <c:numRef>
              <c:f>'base de datos'!$R$110</c:f>
              <c:numCache>
                <c:formatCode>General</c:formatCode>
                <c:ptCount val="1"/>
                <c:pt idx="0">
                  <c:v>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datos'!$P$110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7FBF-4EF1-9802-EC82CA3BFE9A}"/>
            </c:ext>
          </c:extLst>
        </c:ser>
        <c:ser>
          <c:idx val="14"/>
          <c:order val="14"/>
          <c:tx>
            <c:v>Øtran Sreq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4C56437-FBCE-4619-8850-B09CE7BCDBE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datos'!$Q$112</c:f>
              <c:numCache>
                <c:formatCode>General</c:formatCode>
                <c:ptCount val="1"/>
                <c:pt idx="0">
                  <c:v>0.85500000000000009</c:v>
                </c:pt>
              </c:numCache>
            </c:numRef>
          </c:xVal>
          <c:yVal>
            <c:numRef>
              <c:f>'base de datos'!$R$112</c:f>
              <c:numCache>
                <c:formatCode>General</c:formatCode>
                <c:ptCount val="1"/>
                <c:pt idx="0">
                  <c:v>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datos'!$P$112</c15:f>
                <c15:dlblRangeCache>
                  <c:ptCount val="1"/>
                  <c:pt idx="0">
                    <c:v>@0.18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FBF-4EF1-9802-EC82CA3BFE9A}"/>
            </c:ext>
          </c:extLst>
        </c:ser>
        <c:ser>
          <c:idx val="15"/>
          <c:order val="15"/>
          <c:tx>
            <c:v>cota Elevación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1973719-74E6-4D18-BF76-2593DE75F39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BF-4EF1-9802-EC82CA3BF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datos'!$Q$123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datos'!$R$123</c:f>
              <c:numCache>
                <c:formatCode>General</c:formatCode>
                <c:ptCount val="1"/>
                <c:pt idx="0">
                  <c:v>-0.2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datos'!$P$123</c15:f>
                <c15:dlblRangeCache>
                  <c:ptCount val="1"/>
                  <c:pt idx="0">
                    <c:v>ELEVACIÓN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BF-4EF1-9802-EC82CA3BF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09295"/>
        <c:axId val="410280447"/>
      </c:scatterChart>
      <c:valAx>
        <c:axId val="41520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0280447"/>
        <c:crosses val="autoZero"/>
        <c:crossBetween val="midCat"/>
      </c:valAx>
      <c:valAx>
        <c:axId val="41028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5209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65277777777779E-2"/>
          <c:y val="5.4066919191919201E-2"/>
          <c:w val="0.93312527777777776"/>
          <c:h val="0.91014646464646465"/>
        </c:manualLayout>
      </c:layout>
      <c:scatterChart>
        <c:scatterStyle val="lineMarker"/>
        <c:varyColors val="0"/>
        <c:ser>
          <c:idx val="0"/>
          <c:order val="0"/>
          <c:tx>
            <c:v>Excentricidad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datos'!$H$5:$H$33</c:f>
              <c:numCache>
                <c:formatCode>General</c:formatCode>
                <c:ptCount val="29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0.65</c:v>
                </c:pt>
                <c:pt idx="9">
                  <c:v>0.65</c:v>
                </c:pt>
                <c:pt idx="10">
                  <c:v>0.65</c:v>
                </c:pt>
                <c:pt idx="12">
                  <c:v>0.75</c:v>
                </c:pt>
                <c:pt idx="13">
                  <c:v>0.375</c:v>
                </c:pt>
                <c:pt idx="15">
                  <c:v>0.375</c:v>
                </c:pt>
                <c:pt idx="16">
                  <c:v>0.375</c:v>
                </c:pt>
                <c:pt idx="18">
                  <c:v>0.375</c:v>
                </c:pt>
                <c:pt idx="19">
                  <c:v>0.27500000000000002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4">
                  <c:v>0.27500000000000002</c:v>
                </c:pt>
                <c:pt idx="25">
                  <c:v>-0.1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'base de datos'!$I$5:$I$33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1.2999999999999998</c:v>
                </c:pt>
                <c:pt idx="12">
                  <c:v>1.2999999999999998</c:v>
                </c:pt>
                <c:pt idx="13">
                  <c:v>1.2999999999999998</c:v>
                </c:pt>
                <c:pt idx="15">
                  <c:v>1.2999999999999998</c:v>
                </c:pt>
                <c:pt idx="16">
                  <c:v>1.1499999999999999</c:v>
                </c:pt>
                <c:pt idx="18">
                  <c:v>1.1499999999999999</c:v>
                </c:pt>
                <c:pt idx="19">
                  <c:v>1.4499999999999997</c:v>
                </c:pt>
                <c:pt idx="21">
                  <c:v>1.4499999999999997</c:v>
                </c:pt>
                <c:pt idx="22">
                  <c:v>1.2999999999999998</c:v>
                </c:pt>
                <c:pt idx="24">
                  <c:v>1.2999999999999998</c:v>
                </c:pt>
                <c:pt idx="25">
                  <c:v>1.2999999999999998</c:v>
                </c:pt>
                <c:pt idx="27">
                  <c:v>1.2999999999999998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BE-4F47-A3F8-569E6DEF6082}"/>
            </c:ext>
          </c:extLst>
        </c:ser>
        <c:ser>
          <c:idx val="1"/>
          <c:order val="1"/>
          <c:tx>
            <c:v>WNu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8BBE-4F47-A3F8-569E6DEF6082}"/>
              </c:ext>
            </c:extLst>
          </c:dPt>
          <c:dLbls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'base de datos'!$H$35:$H$42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</c:numCache>
            </c:numRef>
          </c:xVal>
          <c:yVal>
            <c:numRef>
              <c:f>'base de datos'!$I$35:$I$42</c:f>
              <c:numCache>
                <c:formatCode>General</c:formatCode>
                <c:ptCount val="8"/>
                <c:pt idx="0">
                  <c:v>0</c:v>
                </c:pt>
                <c:pt idx="1">
                  <c:v>-0.19999999999999998</c:v>
                </c:pt>
                <c:pt idx="3">
                  <c:v>-0.19999999999999998</c:v>
                </c:pt>
                <c:pt idx="4">
                  <c:v>-0.19999999999999998</c:v>
                </c:pt>
                <c:pt idx="6">
                  <c:v>-0.19999999999999998</c:v>
                </c:pt>
                <c:pt idx="7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datos'!$G$41</c15:f>
                <c15:dlblRangeCache>
                  <c:ptCount val="1"/>
                  <c:pt idx="0">
                    <c:v>Wnu= 106.75 tn/m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8BBE-4F47-A3F8-569E6DEF6082}"/>
            </c:ext>
          </c:extLst>
        </c:ser>
        <c:ser>
          <c:idx val="2"/>
          <c:order val="2"/>
          <c:tx>
            <c:v>WNu↑</c:v>
          </c:tx>
          <c:spPr>
            <a:ln w="12700" cap="rnd">
              <a:solidFill>
                <a:schemeClr val="accent2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'base de datos'!$H$44:$H$57</c:f>
              <c:numCache>
                <c:formatCode>General</c:formatCode>
                <c:ptCount val="14"/>
                <c:pt idx="0">
                  <c:v>0.18333333333333335</c:v>
                </c:pt>
                <c:pt idx="1">
                  <c:v>0.18333333333333335</c:v>
                </c:pt>
                <c:pt idx="3">
                  <c:v>0.3666666666666667</c:v>
                </c:pt>
                <c:pt idx="4">
                  <c:v>0.3666666666666667</c:v>
                </c:pt>
                <c:pt idx="6">
                  <c:v>0.55000000000000004</c:v>
                </c:pt>
                <c:pt idx="7">
                  <c:v>0.55000000000000004</c:v>
                </c:pt>
                <c:pt idx="9">
                  <c:v>0.73333333333333339</c:v>
                </c:pt>
                <c:pt idx="10">
                  <c:v>0.73333333333333339</c:v>
                </c:pt>
                <c:pt idx="12">
                  <c:v>0.91666666666666663</c:v>
                </c:pt>
                <c:pt idx="13">
                  <c:v>0.91666666666666663</c:v>
                </c:pt>
              </c:numCache>
            </c:numRef>
          </c:xVal>
          <c:yVal>
            <c:numRef>
              <c:f>'base de datos'!$I$44:$I$57</c:f>
              <c:numCache>
                <c:formatCode>General</c:formatCode>
                <c:ptCount val="14"/>
                <c:pt idx="0">
                  <c:v>-0.19999999999999998</c:v>
                </c:pt>
                <c:pt idx="1">
                  <c:v>0</c:v>
                </c:pt>
                <c:pt idx="3">
                  <c:v>-0.19999999999999998</c:v>
                </c:pt>
                <c:pt idx="4">
                  <c:v>0</c:v>
                </c:pt>
                <c:pt idx="6">
                  <c:v>-0.19999999999999998</c:v>
                </c:pt>
                <c:pt idx="7">
                  <c:v>0</c:v>
                </c:pt>
                <c:pt idx="9">
                  <c:v>-0.19999999999999998</c:v>
                </c:pt>
                <c:pt idx="10">
                  <c:v>0</c:v>
                </c:pt>
                <c:pt idx="12">
                  <c:v>-0.19999999999999998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BE-4F47-A3F8-569E6DEF6082}"/>
            </c:ext>
          </c:extLst>
        </c:ser>
        <c:ser>
          <c:idx val="3"/>
          <c:order val="3"/>
          <c:tx>
            <c:v>RN</c:v>
          </c:tx>
          <c:spPr>
            <a:ln w="19050" cap="rnd">
              <a:solidFill>
                <a:srgbClr val="0070C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'base de datos'!$H$59:$H$60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0.55000000000000004</c:v>
                </c:pt>
              </c:numCache>
            </c:numRef>
          </c:xVal>
          <c:yVal>
            <c:numRef>
              <c:f>'base de datos'!$I$59:$I$60</c:f>
              <c:numCache>
                <c:formatCode>General</c:formatCode>
                <c:ptCount val="2"/>
                <c:pt idx="0">
                  <c:v>-0.35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BE-4F47-A3F8-569E6DEF6082}"/>
            </c:ext>
          </c:extLst>
        </c:ser>
        <c:ser>
          <c:idx val="4"/>
          <c:order val="4"/>
          <c:tx>
            <c:v>cota RN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2E21FD4-6D24-4F41-9B07-A72967DE3E3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datos'!$H$59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datos'!$I$59</c:f>
              <c:numCache>
                <c:formatCode>General</c:formatCode>
                <c:ptCount val="1"/>
                <c:pt idx="0">
                  <c:v>-0.35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datos'!$G$59</c15:f>
                <c15:dlblRangeCache>
                  <c:ptCount val="1"/>
                  <c:pt idx="0">
                    <c:v>RN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8BBE-4F47-A3F8-569E6DEF6082}"/>
            </c:ext>
          </c:extLst>
        </c:ser>
        <c:ser>
          <c:idx val="5"/>
          <c:order val="5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datos'!$H$62:$H$72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</c:numCache>
            </c:numRef>
          </c:xVal>
          <c:yVal>
            <c:numRef>
              <c:f>'base de datos'!$I$62:$I$72</c:f>
              <c:numCache>
                <c:formatCode>General</c:formatCode>
                <c:ptCount val="11"/>
                <c:pt idx="0">
                  <c:v>-0.35</c:v>
                </c:pt>
                <c:pt idx="1">
                  <c:v>-0.6</c:v>
                </c:pt>
                <c:pt idx="3">
                  <c:v>-0.5</c:v>
                </c:pt>
                <c:pt idx="4">
                  <c:v>-0.5</c:v>
                </c:pt>
                <c:pt idx="6">
                  <c:v>-0.35</c:v>
                </c:pt>
                <c:pt idx="7">
                  <c:v>-0.6</c:v>
                </c:pt>
                <c:pt idx="9">
                  <c:v>0.85</c:v>
                </c:pt>
                <c:pt idx="10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BE-4F47-A3F8-569E6DEF6082}"/>
            </c:ext>
          </c:extLst>
        </c:ser>
        <c:ser>
          <c:idx val="6"/>
          <c:order val="6"/>
          <c:tx>
            <c:v>cota B Za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C261B80-E764-43EA-8EA7-8FBE5B2822E9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datos'!$H$74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datos'!$I$74</c:f>
              <c:numCache>
                <c:formatCode>General</c:formatCode>
                <c:ptCount val="1"/>
                <c:pt idx="0">
                  <c:v>-0.45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datos'!$G$74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8BBE-4F47-A3F8-569E6DEF6082}"/>
            </c:ext>
          </c:extLst>
        </c:ser>
        <c:ser>
          <c:idx val="7"/>
          <c:order val="7"/>
          <c:tx>
            <c:v>cota WNu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6E241B-A285-4F63-AF22-6DF024BE065D}" type="CELLRANGE"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 algn="l">
                        <a:defRPr sz="900" b="0" i="0" u="none" strike="noStrike" kern="1200" baseline="0">
                          <a:solidFill>
                            <a:schemeClr val="accent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79666666666663"/>
                      <c:h val="6.32088888888888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datos'!$H$41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datos'!$I$41</c:f>
              <c:numCache>
                <c:formatCode>General</c:formatCode>
                <c:ptCount val="1"/>
                <c:pt idx="0">
                  <c:v>-0.19999999999999998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datos'!$G$41</c15:f>
                <c15:dlblRangeCache>
                  <c:ptCount val="1"/>
                  <c:pt idx="0">
                    <c:v>Wnu= 106.75 tn/m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8BBE-4F47-A3F8-569E6DEF6082}"/>
            </c:ext>
          </c:extLst>
        </c:ser>
        <c:ser>
          <c:idx val="8"/>
          <c:order val="8"/>
          <c:tx>
            <c:v>T-a</c:v>
          </c:tx>
          <c:spPr>
            <a:ln w="12700" cap="rnd">
              <a:solidFill>
                <a:srgbClr val="FF0000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'base de datos'!$H$76:$H$80</c:f>
              <c:numCache>
                <c:formatCode>General</c:formatCode>
                <c:ptCount val="5"/>
                <c:pt idx="0">
                  <c:v>0</c:v>
                </c:pt>
                <c:pt idx="1">
                  <c:v>0.65</c:v>
                </c:pt>
                <c:pt idx="3">
                  <c:v>0.65</c:v>
                </c:pt>
                <c:pt idx="4">
                  <c:v>1.1000000000000001</c:v>
                </c:pt>
              </c:numCache>
            </c:numRef>
          </c:xVal>
          <c:yVal>
            <c:numRef>
              <c:f>'base de datos'!$I$76:$I$80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BBE-4F47-A3F8-569E6DEF6082}"/>
            </c:ext>
          </c:extLst>
        </c:ser>
        <c:ser>
          <c:idx val="9"/>
          <c:order val="9"/>
          <c:tx>
            <c:v>cota T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BDE7682-A010-46EF-A670-0DBC35A6B375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0" anchor="b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datos'!$H$82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datos'!$I$82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datos'!$G$82</c15:f>
                <c15:dlblRangeCache>
                  <c:ptCount val="1"/>
                  <c:pt idx="0">
                    <c:v>T= 0.65m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BBE-4F47-A3F8-569E6DEF6082}"/>
            </c:ext>
          </c:extLst>
        </c:ser>
        <c:ser>
          <c:idx val="10"/>
          <c:order val="10"/>
          <c:tx>
            <c:v>cota a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C187E7-1E37-4C36-B1F5-41F6841381AB}" type="CELLRANGE">
                      <a:rPr lang="en-US"/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datos'!$H$83</c:f>
              <c:numCache>
                <c:formatCode>General</c:formatCode>
                <c:ptCount val="1"/>
                <c:pt idx="0">
                  <c:v>0.875</c:v>
                </c:pt>
              </c:numCache>
            </c:numRef>
          </c:xVal>
          <c:yVal>
            <c:numRef>
              <c:f>'base de datos'!$I$83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datos'!$G$83</c15:f>
                <c15:dlblRangeCache>
                  <c:ptCount val="1"/>
                  <c:pt idx="0">
                    <c:v>a= 0.45m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8BBE-4F47-A3F8-569E6DEF6082}"/>
            </c:ext>
          </c:extLst>
        </c:ser>
        <c:ser>
          <c:idx val="11"/>
          <c:order val="11"/>
          <c:tx>
            <c:v>Pu</c:v>
          </c:tx>
          <c:spPr>
            <a:ln w="19050" cap="rnd">
              <a:solidFill>
                <a:srgbClr val="C000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'base de datos'!$H$85:$H$86</c:f>
              <c:numCache>
                <c:formatCode>General</c:formatCode>
                <c:ptCount val="2"/>
                <c:pt idx="0">
                  <c:v>0.32500000000000001</c:v>
                </c:pt>
                <c:pt idx="1">
                  <c:v>0.32500000000000001</c:v>
                </c:pt>
              </c:numCache>
            </c:numRef>
          </c:xVal>
          <c:yVal>
            <c:numRef>
              <c:f>'base de datos'!$I$85:$I$86</c:f>
              <c:numCache>
                <c:formatCode>General</c:formatCode>
                <c:ptCount val="2"/>
                <c:pt idx="0">
                  <c:v>1.0499999999999998</c:v>
                </c:pt>
                <c:pt idx="1">
                  <c:v>1.5499999999999998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BBE-4F47-A3F8-569E6DEF6082}"/>
            </c:ext>
          </c:extLst>
        </c:ser>
        <c:ser>
          <c:idx val="12"/>
          <c:order val="12"/>
          <c:tx>
            <c:v>cota Pu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600EC6-2301-4F4A-A050-393E2E1537AC}" type="CELLRANGE">
                      <a:rPr lang="en-US"/>
                      <a:pPr>
                        <a:defRPr sz="1000" b="1" i="0" u="none" strike="noStrike" kern="1200" baseline="0">
                          <a:solidFill>
                            <a:srgbClr val="C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83013296094261"/>
                      <c:h val="5.045335688529947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datos'!$H$86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datos'!$I$86</c:f>
              <c:numCache>
                <c:formatCode>General</c:formatCode>
                <c:ptCount val="1"/>
                <c:pt idx="0">
                  <c:v>1.5499999999999998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datos'!$G$86</c15:f>
                <c15:dlblRangeCache>
                  <c:ptCount val="1"/>
                  <c:pt idx="0">
                    <c:v>Pu= 117.42tn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BBE-4F47-A3F8-569E6DEF6082}"/>
            </c:ext>
          </c:extLst>
        </c:ser>
        <c:ser>
          <c:idx val="13"/>
          <c:order val="13"/>
          <c:tx>
            <c:v>Ø Excentricidad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datos'!$H$88:$H$89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1.0250000000000001</c:v>
                </c:pt>
              </c:numCache>
            </c:numRef>
          </c:xVal>
          <c:yVal>
            <c:numRef>
              <c:f>'base de datos'!$I$88:$I$89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BBE-4F47-A3F8-569E6DEF6082}"/>
            </c:ext>
          </c:extLst>
        </c:ser>
        <c:ser>
          <c:idx val="14"/>
          <c:order val="14"/>
          <c:tx>
            <c:v>Øexc #barras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4C8B7AC-2AF3-4A54-84CA-3E16B6477299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datos'!$H$91</c:f>
              <c:numCache>
                <c:formatCode>General</c:formatCode>
                <c:ptCount val="1"/>
                <c:pt idx="0">
                  <c:v>0.36500000000000005</c:v>
                </c:pt>
              </c:numCache>
            </c:numRef>
          </c:xVal>
          <c:yVal>
            <c:numRef>
              <c:f>'base de datos'!$I$91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datos'!$G$91</c15:f>
                <c15:dlblRangeCache>
                  <c:ptCount val="1"/>
                  <c:pt idx="0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8BBE-4F47-A3F8-569E6DEF6082}"/>
            </c:ext>
          </c:extLst>
        </c:ser>
        <c:ser>
          <c:idx val="15"/>
          <c:order val="15"/>
          <c:tx>
            <c:v>Øexc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992651C-D981-42BF-9D65-D8893B725EAF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datos'!$H$92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datos'!$I$92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datos'!$G$92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BBE-4F47-A3F8-569E6DEF6082}"/>
            </c:ext>
          </c:extLst>
        </c:ser>
        <c:ser>
          <c:idx val="16"/>
          <c:order val="16"/>
          <c:tx>
            <c:v>Øexc Sreq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59A2C84-6F02-480C-A9D0-685C526BF506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BBE-4F47-A3F8-569E6DEF6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datos'!$H$93</c:f>
              <c:numCache>
                <c:formatCode>General</c:formatCode>
                <c:ptCount val="1"/>
                <c:pt idx="0">
                  <c:v>0.80500000000000005</c:v>
                </c:pt>
              </c:numCache>
            </c:numRef>
          </c:xVal>
          <c:yVal>
            <c:numRef>
              <c:f>'base de datos'!$I$93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datos'!$G$93</c15:f>
                <c15:dlblRangeCache>
                  <c:ptCount val="1"/>
                  <c:pt idx="0">
                    <c:v>@0.17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8BBE-4F47-A3F8-569E6DEF6082}"/>
            </c:ext>
          </c:extLst>
        </c:ser>
        <c:ser>
          <c:idx val="17"/>
          <c:order val="17"/>
          <c:tx>
            <c:v>HM</c:v>
          </c:tx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2060"/>
                        </a:solidFill>
                      </a:defRPr>
                    </a:pPr>
                    <a:fld id="{37CCB047-B435-4E99-809F-1E9FE9002E87}" type="CELLRANGE">
                      <a:rPr lang="en-US"/>
                      <a:pPr>
                        <a:defRPr>
                          <a:solidFill>
                            <a:srgbClr val="002060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72954545454543"/>
                      <c:h val="8.79058080808080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329-4E3B-99CD-66E4C1765F1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datos'!$V$155</c:f>
              <c:numCache>
                <c:formatCode>General</c:formatCode>
                <c:ptCount val="1"/>
                <c:pt idx="0">
                  <c:v>2.1</c:v>
                </c:pt>
              </c:numCache>
            </c:numRef>
          </c:xVal>
          <c:yVal>
            <c:numRef>
              <c:f>'base de datos'!$W$155</c:f>
              <c:numCache>
                <c:formatCode>General</c:formatCode>
                <c:ptCount val="1"/>
                <c:pt idx="0">
                  <c:v>-0.6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datos'!$Q$155</c15:f>
                <c15:dlblRangeCache>
                  <c:ptCount val="1"/>
                  <c:pt idx="0">
                    <c:v>hebmerma.com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9329-4E3B-99CD-66E4C1765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521743"/>
        <c:axId val="1320734671"/>
      </c:scatterChart>
      <c:valAx>
        <c:axId val="1329521743"/>
        <c:scaling>
          <c:orientation val="minMax"/>
          <c:max val="2.75"/>
          <c:min val="-0.25"/>
        </c:scaling>
        <c:delete val="1"/>
        <c:axPos val="b"/>
        <c:numFmt formatCode="General" sourceLinked="1"/>
        <c:majorTickMark val="out"/>
        <c:minorTickMark val="none"/>
        <c:tickLblPos val="nextTo"/>
        <c:crossAx val="1320734671"/>
        <c:crosses val="autoZero"/>
        <c:crossBetween val="midCat"/>
      </c:valAx>
      <c:valAx>
        <c:axId val="1320734671"/>
        <c:scaling>
          <c:orientation val="minMax"/>
          <c:max val="2.25"/>
          <c:min val="-0.75000000000000011"/>
        </c:scaling>
        <c:delete val="1"/>
        <c:axPos val="l"/>
        <c:numFmt formatCode="General" sourceLinked="1"/>
        <c:majorTickMark val="out"/>
        <c:minorTickMark val="none"/>
        <c:tickLblPos val="nextTo"/>
        <c:crossAx val="1329521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Transversal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datos'!$K$5:$K$39</c:f>
              <c:numCache>
                <c:formatCode>General</c:formatCode>
                <c:ptCount val="35"/>
                <c:pt idx="0">
                  <c:v>0</c:v>
                </c:pt>
                <c:pt idx="1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1.3</c:v>
                </c:pt>
                <c:pt idx="9">
                  <c:v>1.3</c:v>
                </c:pt>
                <c:pt idx="10">
                  <c:v>1.3</c:v>
                </c:pt>
                <c:pt idx="12">
                  <c:v>1.4000000000000001</c:v>
                </c:pt>
                <c:pt idx="13">
                  <c:v>1.1500000000000001</c:v>
                </c:pt>
                <c:pt idx="15">
                  <c:v>1.1500000000000001</c:v>
                </c:pt>
                <c:pt idx="16">
                  <c:v>1.1500000000000001</c:v>
                </c:pt>
                <c:pt idx="18">
                  <c:v>1.1500000000000001</c:v>
                </c:pt>
                <c:pt idx="19">
                  <c:v>1.05</c:v>
                </c:pt>
                <c:pt idx="21">
                  <c:v>1.05</c:v>
                </c:pt>
                <c:pt idx="22">
                  <c:v>1.05</c:v>
                </c:pt>
                <c:pt idx="24">
                  <c:v>1.05</c:v>
                </c:pt>
                <c:pt idx="25">
                  <c:v>0.80000000000000016</c:v>
                </c:pt>
                <c:pt idx="27">
                  <c:v>0.90000000000000013</c:v>
                </c:pt>
                <c:pt idx="28">
                  <c:v>0.90000000000000013</c:v>
                </c:pt>
                <c:pt idx="30">
                  <c:v>0.90000000000000013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'base de datos'!$L$5:$L$39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1.2999999999999998</c:v>
                </c:pt>
                <c:pt idx="12">
                  <c:v>1.2999999999999998</c:v>
                </c:pt>
                <c:pt idx="13">
                  <c:v>1.2999999999999998</c:v>
                </c:pt>
                <c:pt idx="15">
                  <c:v>1.2999999999999998</c:v>
                </c:pt>
                <c:pt idx="16">
                  <c:v>1.1499999999999999</c:v>
                </c:pt>
                <c:pt idx="18">
                  <c:v>1.1499999999999999</c:v>
                </c:pt>
                <c:pt idx="19">
                  <c:v>1.4499999999999997</c:v>
                </c:pt>
                <c:pt idx="21">
                  <c:v>1.4499999999999997</c:v>
                </c:pt>
                <c:pt idx="22">
                  <c:v>1.2999999999999998</c:v>
                </c:pt>
                <c:pt idx="24">
                  <c:v>1.2999999999999998</c:v>
                </c:pt>
                <c:pt idx="25">
                  <c:v>1.2999999999999998</c:v>
                </c:pt>
                <c:pt idx="27">
                  <c:v>1.2999999999999998</c:v>
                </c:pt>
                <c:pt idx="28">
                  <c:v>0.6</c:v>
                </c:pt>
                <c:pt idx="30">
                  <c:v>0.6</c:v>
                </c:pt>
                <c:pt idx="31">
                  <c:v>0.6</c:v>
                </c:pt>
                <c:pt idx="33">
                  <c:v>0.6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6E-42F1-9BE2-E6C30201FFAF}"/>
            </c:ext>
          </c:extLst>
        </c:ser>
        <c:ser>
          <c:idx val="1"/>
          <c:order val="1"/>
          <c:tx>
            <c:v>Wnu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datos'!$K$41:$K$48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</c:numCache>
            </c:numRef>
          </c:xVal>
          <c:yVal>
            <c:numRef>
              <c:f>'base de datos'!$L$41:$L$48</c:f>
              <c:numCache>
                <c:formatCode>General</c:formatCode>
                <c:ptCount val="8"/>
                <c:pt idx="0">
                  <c:v>0</c:v>
                </c:pt>
                <c:pt idx="1">
                  <c:v>-0.19999999999999998</c:v>
                </c:pt>
                <c:pt idx="3">
                  <c:v>-0.19999999999999998</c:v>
                </c:pt>
                <c:pt idx="4">
                  <c:v>-0.19999999999999998</c:v>
                </c:pt>
                <c:pt idx="6">
                  <c:v>-0.19999999999999998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6E-42F1-9BE2-E6C30201FFAF}"/>
            </c:ext>
          </c:extLst>
        </c:ser>
        <c:ser>
          <c:idx val="2"/>
          <c:order val="2"/>
          <c:tx>
            <c:v>Wnu↑</c:v>
          </c:tx>
          <c:spPr>
            <a:ln w="12700" cap="rnd">
              <a:solidFill>
                <a:schemeClr val="accent2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'base de datos'!$K$50:$K$69</c:f>
              <c:numCache>
                <c:formatCode>General</c:formatCode>
                <c:ptCount val="20"/>
                <c:pt idx="0">
                  <c:v>0.27500000000000002</c:v>
                </c:pt>
                <c:pt idx="1">
                  <c:v>0.27500000000000002</c:v>
                </c:pt>
                <c:pt idx="3">
                  <c:v>0.55000000000000004</c:v>
                </c:pt>
                <c:pt idx="4">
                  <c:v>0.55000000000000004</c:v>
                </c:pt>
                <c:pt idx="6">
                  <c:v>0.82500000000000007</c:v>
                </c:pt>
                <c:pt idx="7">
                  <c:v>0.82500000000000007</c:v>
                </c:pt>
                <c:pt idx="9">
                  <c:v>1.1000000000000001</c:v>
                </c:pt>
                <c:pt idx="10">
                  <c:v>1.1000000000000001</c:v>
                </c:pt>
                <c:pt idx="12">
                  <c:v>1.375</c:v>
                </c:pt>
                <c:pt idx="13">
                  <c:v>1.375</c:v>
                </c:pt>
                <c:pt idx="15">
                  <c:v>1.6500000000000001</c:v>
                </c:pt>
                <c:pt idx="16">
                  <c:v>1.6500000000000001</c:v>
                </c:pt>
                <c:pt idx="18">
                  <c:v>1.9250000000000003</c:v>
                </c:pt>
                <c:pt idx="19">
                  <c:v>1.9250000000000003</c:v>
                </c:pt>
              </c:numCache>
            </c:numRef>
          </c:xVal>
          <c:yVal>
            <c:numRef>
              <c:f>'base de datos'!$L$50:$L$69</c:f>
              <c:numCache>
                <c:formatCode>General</c:formatCode>
                <c:ptCount val="20"/>
                <c:pt idx="0">
                  <c:v>-0.19999999999999998</c:v>
                </c:pt>
                <c:pt idx="1">
                  <c:v>0</c:v>
                </c:pt>
                <c:pt idx="3">
                  <c:v>-0.19999999999999998</c:v>
                </c:pt>
                <c:pt idx="4">
                  <c:v>0</c:v>
                </c:pt>
                <c:pt idx="6">
                  <c:v>-0.19999999999999998</c:v>
                </c:pt>
                <c:pt idx="7">
                  <c:v>0</c:v>
                </c:pt>
                <c:pt idx="9">
                  <c:v>-0.19999999999999998</c:v>
                </c:pt>
                <c:pt idx="10">
                  <c:v>0</c:v>
                </c:pt>
                <c:pt idx="12">
                  <c:v>-0.19999999999999998</c:v>
                </c:pt>
                <c:pt idx="13">
                  <c:v>0</c:v>
                </c:pt>
                <c:pt idx="15">
                  <c:v>-0.19999999999999998</c:v>
                </c:pt>
                <c:pt idx="16">
                  <c:v>0</c:v>
                </c:pt>
                <c:pt idx="18">
                  <c:v>-0.19999999999999998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6E-42F1-9BE2-E6C30201FFAF}"/>
            </c:ext>
          </c:extLst>
        </c:ser>
        <c:ser>
          <c:idx val="3"/>
          <c:order val="3"/>
          <c:tx>
            <c:v>RN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19050" cap="rnd">
                <a:solidFill>
                  <a:schemeClr val="accent1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6E-42F1-9BE2-E6C30201FFAF}"/>
              </c:ext>
            </c:extLst>
          </c:dPt>
          <c:xVal>
            <c:numRef>
              <c:f>'base de datos'!$K$71:$K$72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1.1000000000000001</c:v>
                </c:pt>
              </c:numCache>
            </c:numRef>
          </c:xVal>
          <c:yVal>
            <c:numRef>
              <c:f>'base de datos'!$L$71:$L$72</c:f>
              <c:numCache>
                <c:formatCode>General</c:formatCode>
                <c:ptCount val="2"/>
                <c:pt idx="0">
                  <c:v>-0.35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6E-42F1-9BE2-E6C30201FFAF}"/>
            </c:ext>
          </c:extLst>
        </c:ser>
        <c:ser>
          <c:idx val="4"/>
          <c:order val="4"/>
          <c:tx>
            <c:v>cota RN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F626530-9E5A-4BB5-965F-5614DE2441A2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datos'!$K$71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datos'!$L$71</c:f>
              <c:numCache>
                <c:formatCode>General</c:formatCode>
                <c:ptCount val="1"/>
                <c:pt idx="0">
                  <c:v>-0.35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datos'!$J$71</c15:f>
                <c15:dlblRangeCache>
                  <c:ptCount val="1"/>
                  <c:pt idx="0">
                    <c:v>RN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986E-42F1-9BE2-E6C30201FFAF}"/>
            </c:ext>
          </c:extLst>
        </c:ser>
        <c:ser>
          <c:idx val="5"/>
          <c:order val="5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datos'!$K$74:$K$87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'base de datos'!$L$74:$L$87</c:f>
              <c:numCache>
                <c:formatCode>General</c:formatCode>
                <c:ptCount val="14"/>
                <c:pt idx="0">
                  <c:v>-0.35</c:v>
                </c:pt>
                <c:pt idx="1">
                  <c:v>-0.6</c:v>
                </c:pt>
                <c:pt idx="3">
                  <c:v>-0.5</c:v>
                </c:pt>
                <c:pt idx="4">
                  <c:v>-0.5</c:v>
                </c:pt>
                <c:pt idx="6">
                  <c:v>-0.35</c:v>
                </c:pt>
                <c:pt idx="7">
                  <c:v>-0.6</c:v>
                </c:pt>
                <c:pt idx="9">
                  <c:v>0.7</c:v>
                </c:pt>
                <c:pt idx="10">
                  <c:v>0.79999999999999993</c:v>
                </c:pt>
                <c:pt idx="12">
                  <c:v>0.7</c:v>
                </c:pt>
                <c:pt idx="13">
                  <c:v>0.79999999999999993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86E-42F1-9BE2-E6C30201FFAF}"/>
            </c:ext>
          </c:extLst>
        </c:ser>
        <c:ser>
          <c:idx val="6"/>
          <c:order val="6"/>
          <c:tx>
            <c:v>cota long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E2BB58C-2D34-4681-BB9C-145990F29923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datos'!$K$89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datos'!$L$89</c:f>
              <c:numCache>
                <c:formatCode>General</c:formatCode>
                <c:ptCount val="1"/>
                <c:pt idx="0">
                  <c:v>-0.45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datos'!$J$89</c15:f>
                <c15:dlblRangeCache>
                  <c:ptCount val="1"/>
                  <c:pt idx="0">
                    <c:v>T= 2.20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986E-42F1-9BE2-E6C30201FFAF}"/>
            </c:ext>
          </c:extLst>
        </c:ser>
        <c:ser>
          <c:idx val="7"/>
          <c:order val="7"/>
          <c:tx>
            <c:v>cota Wnu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664AE3B-6DCB-48E8-8147-2B5628D8BC92}" type="CELLRANGE"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accent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30883838383838"/>
                      <c:h val="8.00805555555555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datos'!$K$47</c:f>
              <c:numCache>
                <c:formatCode>General</c:formatCode>
                <c:ptCount val="1"/>
                <c:pt idx="0">
                  <c:v>2.2000000000000002</c:v>
                </c:pt>
              </c:numCache>
            </c:numRef>
          </c:xVal>
          <c:yVal>
            <c:numRef>
              <c:f>'base de datos'!$L$47</c:f>
              <c:numCache>
                <c:formatCode>General</c:formatCode>
                <c:ptCount val="1"/>
                <c:pt idx="0">
                  <c:v>-0.19999999999999998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datos'!$J$47</c15:f>
                <c15:dlblRangeCache>
                  <c:ptCount val="1"/>
                  <c:pt idx="0">
                    <c:v>Wnu= 53.37 tn/m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86E-42F1-9BE2-E6C30201FFAF}"/>
            </c:ext>
          </c:extLst>
        </c:ser>
        <c:ser>
          <c:idx val="8"/>
          <c:order val="8"/>
          <c:tx>
            <c:v>b</c:v>
          </c:tx>
          <c:spPr>
            <a:ln w="12700" cap="rnd">
              <a:solidFill>
                <a:srgbClr val="FF0000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'base de datos'!$K$91:$K$98</c:f>
              <c:numCache>
                <c:formatCode>General</c:formatCode>
                <c:ptCount val="8"/>
                <c:pt idx="0">
                  <c:v>0</c:v>
                </c:pt>
                <c:pt idx="1">
                  <c:v>0.90000000000000013</c:v>
                </c:pt>
                <c:pt idx="3">
                  <c:v>0.90000000000000013</c:v>
                </c:pt>
                <c:pt idx="4">
                  <c:v>1.3000000000000003</c:v>
                </c:pt>
                <c:pt idx="6">
                  <c:v>1.3000000000000003</c:v>
                </c:pt>
                <c:pt idx="7">
                  <c:v>2.2000000000000002</c:v>
                </c:pt>
              </c:numCache>
            </c:numRef>
          </c:xVal>
          <c:yVal>
            <c:numRef>
              <c:f>'base de datos'!$L$91:$L$98</c:f>
              <c:numCache>
                <c:formatCode>General</c:formatCode>
                <c:ptCount val="8"/>
                <c:pt idx="0">
                  <c:v>0.75</c:v>
                </c:pt>
                <c:pt idx="1">
                  <c:v>0.75</c:v>
                </c:pt>
                <c:pt idx="3">
                  <c:v>0.75</c:v>
                </c:pt>
                <c:pt idx="4">
                  <c:v>0.75</c:v>
                </c:pt>
                <c:pt idx="6">
                  <c:v>0.75</c:v>
                </c:pt>
                <c:pt idx="7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86E-42F1-9BE2-E6C30201FFAF}"/>
            </c:ext>
          </c:extLst>
        </c:ser>
        <c:ser>
          <c:idx val="9"/>
          <c:order val="9"/>
          <c:tx>
            <c:v>col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BAD98B5-B66D-4F9E-BB8D-47FAD4263149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datos'!$K$100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datos'!$L$100</c:f>
              <c:numCache>
                <c:formatCode>General</c:formatCode>
                <c:ptCount val="1"/>
                <c:pt idx="0">
                  <c:v>0.65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datos'!$J$100</c15:f>
                <c15:dlblRangeCache>
                  <c:ptCount val="1"/>
                  <c:pt idx="0">
                    <c:v>0.40m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986E-42F1-9BE2-E6C30201FFAF}"/>
            </c:ext>
          </c:extLst>
        </c:ser>
        <c:ser>
          <c:idx val="10"/>
          <c:order val="10"/>
          <c:tx>
            <c:v>cota b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AFB2FA-9EC1-4A37-AA2D-C4E46782BD34}" type="CELLRANGE">
                      <a:rPr lang="en-US"/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datos'!$K$101</c:f>
              <c:numCache>
                <c:formatCode>General</c:formatCode>
                <c:ptCount val="1"/>
                <c:pt idx="0">
                  <c:v>1.7500000000000004</c:v>
                </c:pt>
              </c:numCache>
            </c:numRef>
          </c:xVal>
          <c:yVal>
            <c:numRef>
              <c:f>'base de datos'!$L$101</c:f>
              <c:numCache>
                <c:formatCode>General</c:formatCode>
                <c:ptCount val="1"/>
                <c:pt idx="0">
                  <c:v>0.65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datos'!$J$101</c15:f>
                <c15:dlblRangeCache>
                  <c:ptCount val="1"/>
                  <c:pt idx="0">
                    <c:v>b= 0.90m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986E-42F1-9BE2-E6C30201FFAF}"/>
            </c:ext>
          </c:extLst>
        </c:ser>
        <c:ser>
          <c:idx val="11"/>
          <c:order val="11"/>
          <c:tx>
            <c:v>Pu</c:v>
          </c:tx>
          <c:spPr>
            <a:ln w="19050" cap="rnd">
              <a:solidFill>
                <a:srgbClr val="C000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'base de datos'!$K$104:$K$105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1.1000000000000001</c:v>
                </c:pt>
              </c:numCache>
            </c:numRef>
          </c:xVal>
          <c:yVal>
            <c:numRef>
              <c:f>'base de datos'!$L$104:$L$105</c:f>
              <c:numCache>
                <c:formatCode>General</c:formatCode>
                <c:ptCount val="2"/>
                <c:pt idx="0">
                  <c:v>1.0499999999999998</c:v>
                </c:pt>
                <c:pt idx="1">
                  <c:v>1.5499999999999998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86E-42F1-9BE2-E6C30201FFAF}"/>
            </c:ext>
          </c:extLst>
        </c:ser>
        <c:ser>
          <c:idx val="12"/>
          <c:order val="12"/>
          <c:tx>
            <c:v>cota Pu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90BC478-5A80-445E-A49D-BCFBCB8BAFC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datos'!$K$105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datos'!$L$105</c:f>
              <c:numCache>
                <c:formatCode>General</c:formatCode>
                <c:ptCount val="1"/>
                <c:pt idx="0">
                  <c:v>1.5499999999999998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datos'!$J$105</c15:f>
                <c15:dlblRangeCache>
                  <c:ptCount val="1"/>
                  <c:pt idx="0">
                    <c:v>Pu= 117.42tn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986E-42F1-9BE2-E6C30201FFAF}"/>
            </c:ext>
          </c:extLst>
        </c:ser>
        <c:ser>
          <c:idx val="13"/>
          <c:order val="13"/>
          <c:tx>
            <c:v>ØTransversal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datos'!$K$107:$K$108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2.125</c:v>
                </c:pt>
              </c:numCache>
            </c:numRef>
          </c:xVal>
          <c:yVal>
            <c:numRef>
              <c:f>'base de datos'!$L$107:$L$108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86E-42F1-9BE2-E6C30201FFAF}"/>
            </c:ext>
          </c:extLst>
        </c:ser>
        <c:ser>
          <c:idx val="14"/>
          <c:order val="14"/>
          <c:tx>
            <c:v>Øtran #barras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2E2BF8B-45DC-486D-905B-FA5B65833CD7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datos'!$K$110</c:f>
              <c:numCache>
                <c:formatCode>General</c:formatCode>
                <c:ptCount val="1"/>
                <c:pt idx="0">
                  <c:v>0.91500000000000004</c:v>
                </c:pt>
              </c:numCache>
            </c:numRef>
          </c:xVal>
          <c:yVal>
            <c:numRef>
              <c:f>'base de datos'!$L$110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datos'!$J$110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986E-42F1-9BE2-E6C30201FFAF}"/>
            </c:ext>
          </c:extLst>
        </c:ser>
        <c:ser>
          <c:idx val="15"/>
          <c:order val="15"/>
          <c:tx>
            <c:v>Øtran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6C71EE8-F65A-4F1D-AE51-FAFDAFB0E17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datos'!$K$111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datos'!$L$111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datos'!$J$111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986E-42F1-9BE2-E6C30201FFAF}"/>
            </c:ext>
          </c:extLst>
        </c:ser>
        <c:ser>
          <c:idx val="16"/>
          <c:order val="16"/>
          <c:tx>
            <c:v>Øtran Sreq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64D8CA7-6B64-41FC-A924-9FEA3E3C059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datos'!$K$112</c:f>
              <c:numCache>
                <c:formatCode>General</c:formatCode>
                <c:ptCount val="1"/>
                <c:pt idx="0">
                  <c:v>1.355</c:v>
                </c:pt>
              </c:numCache>
            </c:numRef>
          </c:xVal>
          <c:yVal>
            <c:numRef>
              <c:f>'base de datos'!$L$112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datos'!$J$112</c15:f>
                <c15:dlblRangeCache>
                  <c:ptCount val="1"/>
                  <c:pt idx="0">
                    <c:v>@0.18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986E-42F1-9BE2-E6C30201FFAF}"/>
            </c:ext>
          </c:extLst>
        </c:ser>
        <c:ser>
          <c:idx val="17"/>
          <c:order val="17"/>
          <c:tx>
            <c:v>cota b izq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F37D81F-DD73-4715-B012-84FC0ACD1D6F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986E-42F1-9BE2-E6C30201F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datos'!$K$102</c:f>
              <c:numCache>
                <c:formatCode>General</c:formatCode>
                <c:ptCount val="1"/>
                <c:pt idx="0">
                  <c:v>0.45000000000000007</c:v>
                </c:pt>
              </c:numCache>
            </c:numRef>
          </c:xVal>
          <c:yVal>
            <c:numRef>
              <c:f>'base de datos'!$L$102</c:f>
              <c:numCache>
                <c:formatCode>General</c:formatCode>
                <c:ptCount val="1"/>
                <c:pt idx="0">
                  <c:v>0.65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datos'!$J$102</c15:f>
                <c15:dlblRangeCache>
                  <c:ptCount val="1"/>
                  <c:pt idx="0">
                    <c:v>b= 0.90m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986E-42F1-9BE2-E6C30201FFAF}"/>
            </c:ext>
          </c:extLst>
        </c:ser>
        <c:ser>
          <c:idx val="18"/>
          <c:order val="18"/>
          <c:tx>
            <c:v>HM</c:v>
          </c:tx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2060"/>
                        </a:solidFill>
                      </a:defRPr>
                    </a:pPr>
                    <a:fld id="{D3A944EA-C366-4794-A85E-D3E36DD426F4}" type="CELLRANGE">
                      <a:rPr lang="en-US"/>
                      <a:pPr>
                        <a:defRPr>
                          <a:solidFill>
                            <a:srgbClr val="002060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20934343434343"/>
                      <c:h val="8.79058080808080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AEE-43C2-A252-B2FD59003A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datos'!$X$155</c:f>
              <c:numCache>
                <c:formatCode>General</c:formatCode>
                <c:ptCount val="1"/>
                <c:pt idx="0">
                  <c:v>2.2000000000000002</c:v>
                </c:pt>
              </c:numCache>
            </c:numRef>
          </c:xVal>
          <c:yVal>
            <c:numRef>
              <c:f>'base de datos'!$Y$155</c:f>
              <c:numCache>
                <c:formatCode>General</c:formatCode>
                <c:ptCount val="1"/>
                <c:pt idx="0">
                  <c:v>-0.6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datos'!$Q$155</c15:f>
                <c15:dlblRangeCache>
                  <c:ptCount val="1"/>
                  <c:pt idx="0">
                    <c:v>hebmerma.com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9AEE-43C2-A252-B2FD59003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917759"/>
        <c:axId val="544103391"/>
      </c:scatterChart>
      <c:valAx>
        <c:axId val="424917759"/>
        <c:scaling>
          <c:orientation val="minMax"/>
          <c:max val="3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544103391"/>
        <c:crosses val="autoZero"/>
        <c:crossBetween val="midCat"/>
      </c:valAx>
      <c:valAx>
        <c:axId val="544103391"/>
        <c:scaling>
          <c:orientation val="minMax"/>
          <c:max val="3.25"/>
          <c:min val="-0.75000000000000011"/>
        </c:scaling>
        <c:delete val="1"/>
        <c:axPos val="l"/>
        <c:numFmt formatCode="General" sourceLinked="1"/>
        <c:majorTickMark val="none"/>
        <c:minorTickMark val="none"/>
        <c:tickLblPos val="nextTo"/>
        <c:crossAx val="424917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50757575757573E-2"/>
          <c:y val="1.761489898989899E-2"/>
          <c:w val="0.86230732323232329"/>
          <c:h val="0.9240219696969697"/>
        </c:manualLayout>
      </c:layout>
      <c:scatterChart>
        <c:scatterStyle val="lineMarker"/>
        <c:varyColors val="0"/>
        <c:ser>
          <c:idx val="0"/>
          <c:order val="0"/>
          <c:tx>
            <c:v>Planta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datos'!$N$5:$N$30</c:f>
              <c:numCache>
                <c:formatCode>General</c:formatCode>
                <c:ptCount val="26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0.65</c:v>
                </c:pt>
                <c:pt idx="15">
                  <c:v>0.65</c:v>
                </c:pt>
                <c:pt idx="16">
                  <c:v>0.65</c:v>
                </c:pt>
                <c:pt idx="18">
                  <c:v>0.65</c:v>
                </c:pt>
                <c:pt idx="19">
                  <c:v>0</c:v>
                </c:pt>
                <c:pt idx="21">
                  <c:v>0.22500000000000001</c:v>
                </c:pt>
                <c:pt idx="22">
                  <c:v>0.42500000000000004</c:v>
                </c:pt>
                <c:pt idx="24">
                  <c:v>0.32500000000000001</c:v>
                </c:pt>
                <c:pt idx="25">
                  <c:v>0.32500000000000001</c:v>
                </c:pt>
              </c:numCache>
            </c:numRef>
          </c:xVal>
          <c:yVal>
            <c:numRef>
              <c:f>'base de datos'!$O$5:$O$30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9">
                  <c:v>2.2000000000000002</c:v>
                </c:pt>
                <c:pt idx="10">
                  <c:v>0</c:v>
                </c:pt>
                <c:pt idx="12">
                  <c:v>0.90000000000000013</c:v>
                </c:pt>
                <c:pt idx="13">
                  <c:v>0.90000000000000013</c:v>
                </c:pt>
                <c:pt idx="15">
                  <c:v>0.90000000000000013</c:v>
                </c:pt>
                <c:pt idx="16">
                  <c:v>1.3000000000000003</c:v>
                </c:pt>
                <c:pt idx="18">
                  <c:v>1.3000000000000003</c:v>
                </c:pt>
                <c:pt idx="19">
                  <c:v>1.3000000000000003</c:v>
                </c:pt>
                <c:pt idx="21">
                  <c:v>1.1000000000000001</c:v>
                </c:pt>
                <c:pt idx="22">
                  <c:v>1.1000000000000001</c:v>
                </c:pt>
                <c:pt idx="24">
                  <c:v>1.0250000000000001</c:v>
                </c:pt>
                <c:pt idx="25">
                  <c:v>1.175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CC-42C9-84CE-58B1C002C758}"/>
            </c:ext>
          </c:extLst>
        </c:ser>
        <c:ser>
          <c:idx val="1"/>
          <c:order val="1"/>
          <c:tx>
            <c:v>h col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BA3B273-2237-4429-80E2-79F1302050A9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datos'!$N$32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'base de datos'!$O$32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datos'!$M$32</c15:f>
                <c15:dlblRangeCache>
                  <c:ptCount val="1"/>
                  <c:pt idx="0">
                    <c:v>0.40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4CC-42C9-84CE-58B1C002C758}"/>
            </c:ext>
          </c:extLst>
        </c:ser>
        <c:ser>
          <c:idx val="2"/>
          <c:order val="2"/>
          <c:tx>
            <c:v>b col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77584DE-8BD3-4AA1-84BD-3A92D61093F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datos'!$N$33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datos'!$O$33</c:f>
              <c:numCache>
                <c:formatCode>General</c:formatCode>
                <c:ptCount val="1"/>
                <c:pt idx="0">
                  <c:v>0.95000000000000018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datos'!$M$33</c15:f>
                <c15:dlblRangeCache>
                  <c:ptCount val="1"/>
                  <c:pt idx="0">
                    <c:v>0.65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04CC-42C9-84CE-58B1C002C758}"/>
            </c:ext>
          </c:extLst>
        </c:ser>
        <c:ser>
          <c:idx val="3"/>
          <c:order val="3"/>
          <c:tx>
            <c:v>ØExcentrico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datos'!$N$35:$N$51</c:f>
              <c:numCache>
                <c:formatCode>General</c:formatCode>
                <c:ptCount val="17"/>
                <c:pt idx="0">
                  <c:v>7.4999999999999997E-2</c:v>
                </c:pt>
                <c:pt idx="1">
                  <c:v>7.4999999999999997E-2</c:v>
                </c:pt>
                <c:pt idx="3">
                  <c:v>7.4999999999999997E-2</c:v>
                </c:pt>
                <c:pt idx="4">
                  <c:v>1.05</c:v>
                </c:pt>
                <c:pt idx="6">
                  <c:v>1.05</c:v>
                </c:pt>
                <c:pt idx="7">
                  <c:v>1.05</c:v>
                </c:pt>
                <c:pt idx="9">
                  <c:v>0.87500000000000011</c:v>
                </c:pt>
                <c:pt idx="10">
                  <c:v>1.0250000000000001</c:v>
                </c:pt>
                <c:pt idx="12">
                  <c:v>1.0250000000000001</c:v>
                </c:pt>
                <c:pt idx="13">
                  <c:v>1.0250000000000001</c:v>
                </c:pt>
                <c:pt idx="15">
                  <c:v>1.0250000000000001</c:v>
                </c:pt>
                <c:pt idx="16">
                  <c:v>0.87500000000000011</c:v>
                </c:pt>
              </c:numCache>
            </c:numRef>
          </c:xVal>
          <c:yVal>
            <c:numRef>
              <c:f>'base de datos'!$O$35:$O$51</c:f>
              <c:numCache>
                <c:formatCode>General</c:formatCode>
                <c:ptCount val="17"/>
                <c:pt idx="0">
                  <c:v>0.22500000000000001</c:v>
                </c:pt>
                <c:pt idx="1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6">
                  <c:v>7.4999999999999997E-2</c:v>
                </c:pt>
                <c:pt idx="7">
                  <c:v>0.22500000000000001</c:v>
                </c:pt>
                <c:pt idx="9">
                  <c:v>0.05</c:v>
                </c:pt>
                <c:pt idx="10">
                  <c:v>0.05</c:v>
                </c:pt>
                <c:pt idx="12">
                  <c:v>0.05</c:v>
                </c:pt>
                <c:pt idx="13">
                  <c:v>2.125</c:v>
                </c:pt>
                <c:pt idx="15">
                  <c:v>2.125</c:v>
                </c:pt>
                <c:pt idx="16">
                  <c:v>2.125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4CC-42C9-84CE-58B1C002C758}"/>
            </c:ext>
          </c:extLst>
        </c:ser>
        <c:ser>
          <c:idx val="4"/>
          <c:order val="4"/>
          <c:tx>
            <c:v>Øexc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929DAA4-90FF-484C-BB2A-87DDE494C30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datos'!$N$54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'base de datos'!$O$54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datos'!$M$54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04CC-42C9-84CE-58B1C002C758}"/>
            </c:ext>
          </c:extLst>
        </c:ser>
        <c:ser>
          <c:idx val="5"/>
          <c:order val="5"/>
          <c:tx>
            <c:v>Øexc #barras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36C9A96-A5AC-4794-960B-80DB180A3D0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datos'!$N$53</c:f>
              <c:numCache>
                <c:formatCode>General</c:formatCode>
                <c:ptCount val="1"/>
                <c:pt idx="0">
                  <c:v>0.315</c:v>
                </c:pt>
              </c:numCache>
            </c:numRef>
          </c:xVal>
          <c:yVal>
            <c:numRef>
              <c:f>'base de datos'!$O$53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datos'!$M$53</c15:f>
                <c15:dlblRangeCache>
                  <c:ptCount val="1"/>
                  <c:pt idx="0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04CC-42C9-84CE-58B1C002C758}"/>
            </c:ext>
          </c:extLst>
        </c:ser>
        <c:ser>
          <c:idx val="6"/>
          <c:order val="6"/>
          <c:tx>
            <c:v>Øexc Sreq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BF38124-CC7D-4D0D-A6CE-D65804D3FEB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datos'!$N$55</c:f>
              <c:numCache>
                <c:formatCode>General</c:formatCode>
                <c:ptCount val="1"/>
                <c:pt idx="0">
                  <c:v>0.755</c:v>
                </c:pt>
              </c:numCache>
            </c:numRef>
          </c:xVal>
          <c:yVal>
            <c:numRef>
              <c:f>'base de datos'!$O$55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datos'!$M$55</c15:f>
                <c15:dlblRangeCache>
                  <c:ptCount val="1"/>
                  <c:pt idx="0">
                    <c:v>@0.17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04CC-42C9-84CE-58B1C002C758}"/>
            </c:ext>
          </c:extLst>
        </c:ser>
        <c:ser>
          <c:idx val="7"/>
          <c:order val="7"/>
          <c:tx>
            <c:v>Øtran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87B2F3F-A8B2-4C26-902E-E0C7CFC4615D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datos'!$N$58</c:f>
              <c:numCache>
                <c:formatCode>General</c:formatCode>
                <c:ptCount val="1"/>
                <c:pt idx="0">
                  <c:v>1.0750000000000002</c:v>
                </c:pt>
              </c:numCache>
            </c:numRef>
          </c:xVal>
          <c:yVal>
            <c:numRef>
              <c:f>'base de datos'!$O$58</c:f>
              <c:numCache>
                <c:formatCode>General</c:formatCode>
                <c:ptCount val="1"/>
                <c:pt idx="0">
                  <c:v>1.05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datos'!$M$58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04CC-42C9-84CE-58B1C002C758}"/>
            </c:ext>
          </c:extLst>
        </c:ser>
        <c:ser>
          <c:idx val="8"/>
          <c:order val="8"/>
          <c:tx>
            <c:v>Øtran #barras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2051B84-C994-4A48-9FB1-EA1A0D7D3C12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datos'!$N$57</c:f>
              <c:numCache>
                <c:formatCode>General</c:formatCode>
                <c:ptCount val="1"/>
                <c:pt idx="0">
                  <c:v>1.0750000000000002</c:v>
                </c:pt>
              </c:numCache>
            </c:numRef>
          </c:xVal>
          <c:yVal>
            <c:numRef>
              <c:f>'base de datos'!$O$57</c:f>
              <c:numCache>
                <c:formatCode>General</c:formatCode>
                <c:ptCount val="1"/>
                <c:pt idx="0">
                  <c:v>0.86499999999999999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datos'!$M$57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04CC-42C9-84CE-58B1C002C758}"/>
            </c:ext>
          </c:extLst>
        </c:ser>
        <c:ser>
          <c:idx val="9"/>
          <c:order val="9"/>
          <c:tx>
            <c:v>Øtran Sreq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35DE516-B44B-491E-9C57-AF06915061C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datos'!$N$59</c:f>
              <c:numCache>
                <c:formatCode>General</c:formatCode>
                <c:ptCount val="1"/>
                <c:pt idx="0">
                  <c:v>1.0750000000000002</c:v>
                </c:pt>
              </c:numCache>
            </c:numRef>
          </c:xVal>
          <c:yVal>
            <c:numRef>
              <c:f>'base de datos'!$O$59</c:f>
              <c:numCache>
                <c:formatCode>General</c:formatCode>
                <c:ptCount val="1"/>
                <c:pt idx="0">
                  <c:v>1.3050000000000002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datos'!$M$59</c15:f>
                <c15:dlblRangeCache>
                  <c:ptCount val="1"/>
                  <c:pt idx="0">
                    <c:v>@0.18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04CC-42C9-84CE-58B1C002C758}"/>
            </c:ext>
          </c:extLst>
        </c:ser>
        <c:ser>
          <c:idx val="10"/>
          <c:order val="10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datos'!$N$61:$N$77</c:f>
              <c:numCache>
                <c:formatCode>General</c:formatCode>
                <c:ptCount val="17"/>
                <c:pt idx="0">
                  <c:v>1.1500000000000001</c:v>
                </c:pt>
                <c:pt idx="1">
                  <c:v>1.2500000000000002</c:v>
                </c:pt>
                <c:pt idx="3">
                  <c:v>1.2000000000000002</c:v>
                </c:pt>
                <c:pt idx="4">
                  <c:v>1.2000000000000002</c:v>
                </c:pt>
                <c:pt idx="6">
                  <c:v>1.1500000000000001</c:v>
                </c:pt>
                <c:pt idx="7">
                  <c:v>1.2500000000000002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</c:numCache>
            </c:numRef>
          </c:xVal>
          <c:yVal>
            <c:numRef>
              <c:f>'base de datos'!$O$61:$O$77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9">
                  <c:v>2.3000000000000003</c:v>
                </c:pt>
                <c:pt idx="10">
                  <c:v>2.4000000000000004</c:v>
                </c:pt>
                <c:pt idx="12">
                  <c:v>2.35</c:v>
                </c:pt>
                <c:pt idx="13">
                  <c:v>2.35</c:v>
                </c:pt>
                <c:pt idx="15">
                  <c:v>2.3000000000000003</c:v>
                </c:pt>
                <c:pt idx="16">
                  <c:v>2.4000000000000004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4CC-42C9-84CE-58B1C002C758}"/>
            </c:ext>
          </c:extLst>
        </c:ser>
        <c:ser>
          <c:idx val="11"/>
          <c:order val="11"/>
          <c:tx>
            <c:v>cota H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1684620-9D81-4366-943B-9DA7F0E198EF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4CC-42C9-84CE-58B1C002C75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800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datos'!$N$79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datos'!$O$79</c:f>
              <c:numCache>
                <c:formatCode>General</c:formatCode>
                <c:ptCount val="1"/>
                <c:pt idx="0">
                  <c:v>2.35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datos'!$M$79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04CC-42C9-84CE-58B1C002C758}"/>
            </c:ext>
          </c:extLst>
        </c:ser>
        <c:ser>
          <c:idx val="12"/>
          <c:order val="12"/>
          <c:tx>
            <c:v>cota V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14ABB32-63DF-4C3B-818A-6524828F9CC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4CC-42C9-84CE-58B1C002C75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96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datos'!$N$80</c:f>
              <c:numCache>
                <c:formatCode>General</c:formatCode>
                <c:ptCount val="1"/>
                <c:pt idx="0">
                  <c:v>1.2750000000000001</c:v>
                </c:pt>
              </c:numCache>
            </c:numRef>
          </c:xVal>
          <c:yVal>
            <c:numRef>
              <c:f>'base de datos'!$O$80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datos'!$M$80</c15:f>
                <c15:dlblRangeCache>
                  <c:ptCount val="1"/>
                  <c:pt idx="0">
                    <c:v>2.20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04CC-42C9-84CE-58B1C002C758}"/>
            </c:ext>
          </c:extLst>
        </c:ser>
        <c:ser>
          <c:idx val="13"/>
          <c:order val="13"/>
          <c:tx>
            <c:v>PLANTA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F41DC38-E26B-4B47-9DA6-0B1307A768C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04CC-42C9-84CE-58B1C002C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datos'!$N$81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datos'!$O$81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datos'!$M$81</c15:f>
                <c15:dlblRangeCache>
                  <c:ptCount val="1"/>
                  <c:pt idx="0">
                    <c:v>PLANTA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04CC-42C9-84CE-58B1C002C758}"/>
            </c:ext>
          </c:extLst>
        </c:ser>
        <c:ser>
          <c:idx val="14"/>
          <c:order val="14"/>
          <c:tx>
            <c:v>HM</c:v>
          </c:tx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2060"/>
                        </a:solidFill>
                      </a:defRPr>
                    </a:pPr>
                    <a:fld id="{3837C7CE-7AFE-404E-80B2-71937BD4FE7F}" type="CELLRANGE">
                      <a:rPr lang="en-US"/>
                      <a:pPr>
                        <a:defRPr>
                          <a:solidFill>
                            <a:srgbClr val="002060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83055555555555"/>
                      <c:h val="7.975303403674660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1-48DC-B4B3-879899041F1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datos'!$Z$155</c:f>
              <c:numCache>
                <c:formatCode>General</c:formatCode>
                <c:ptCount val="1"/>
                <c:pt idx="0">
                  <c:v>1.7500000000000002</c:v>
                </c:pt>
              </c:numCache>
            </c:numRef>
          </c:xVal>
          <c:yVal>
            <c:numRef>
              <c:f>'base de datos'!$AA$155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datos'!$Q$155</c15:f>
                <c15:dlblRangeCache>
                  <c:ptCount val="1"/>
                  <c:pt idx="0">
                    <c:v>hebmerma.com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E8A1-48DC-B4B3-87989904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789183"/>
        <c:axId val="420763391"/>
      </c:scatterChart>
      <c:valAx>
        <c:axId val="500789183"/>
        <c:scaling>
          <c:orientation val="minMax"/>
          <c:max val="2.5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420763391"/>
        <c:crosses val="autoZero"/>
        <c:crossBetween val="midCat"/>
        <c:majorUnit val="0.5"/>
      </c:valAx>
      <c:valAx>
        <c:axId val="4207633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0789183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Elevación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spPr>
              <a:ln w="158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68-4984-8AB0-59563D5C14E1}"/>
              </c:ext>
            </c:extLst>
          </c:dPt>
          <c:dPt>
            <c:idx val="34"/>
            <c:marker>
              <c:symbol val="none"/>
            </c:marker>
            <c:bubble3D val="0"/>
            <c:spPr>
              <a:ln w="158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68-4984-8AB0-59563D5C14E1}"/>
              </c:ext>
            </c:extLst>
          </c:dPt>
          <c:dPt>
            <c:idx val="37"/>
            <c:marker>
              <c:symbol val="none"/>
            </c:marker>
            <c:bubble3D val="0"/>
            <c:spPr>
              <a:ln w="158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68-4984-8AB0-59563D5C14E1}"/>
              </c:ext>
            </c:extLst>
          </c:dPt>
          <c:xVal>
            <c:numRef>
              <c:f>'base de datos'!$Q$5:$Q$42</c:f>
              <c:numCache>
                <c:formatCode>General</c:formatCode>
                <c:ptCount val="38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0.65</c:v>
                </c:pt>
                <c:pt idx="9">
                  <c:v>0.65</c:v>
                </c:pt>
                <c:pt idx="10">
                  <c:v>0.65</c:v>
                </c:pt>
                <c:pt idx="12">
                  <c:v>0.75</c:v>
                </c:pt>
                <c:pt idx="13">
                  <c:v>0.375</c:v>
                </c:pt>
                <c:pt idx="15">
                  <c:v>0.375</c:v>
                </c:pt>
                <c:pt idx="16">
                  <c:v>0.375</c:v>
                </c:pt>
                <c:pt idx="18">
                  <c:v>0.375</c:v>
                </c:pt>
                <c:pt idx="19">
                  <c:v>0.27500000000000002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4">
                  <c:v>0.27500000000000002</c:v>
                </c:pt>
                <c:pt idx="25">
                  <c:v>-0.1</c:v>
                </c:pt>
                <c:pt idx="27">
                  <c:v>0</c:v>
                </c:pt>
                <c:pt idx="28">
                  <c:v>0</c:v>
                </c:pt>
                <c:pt idx="30">
                  <c:v>0.65</c:v>
                </c:pt>
                <c:pt idx="31">
                  <c:v>1.3</c:v>
                </c:pt>
                <c:pt idx="33">
                  <c:v>1.3</c:v>
                </c:pt>
                <c:pt idx="34">
                  <c:v>1.3</c:v>
                </c:pt>
                <c:pt idx="36">
                  <c:v>1.3</c:v>
                </c:pt>
                <c:pt idx="37">
                  <c:v>0.65</c:v>
                </c:pt>
              </c:numCache>
            </c:numRef>
          </c:xVal>
          <c:yVal>
            <c:numRef>
              <c:f>'base de datos'!$R$5:$R$42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1.85</c:v>
                </c:pt>
                <c:pt idx="18">
                  <c:v>1.85</c:v>
                </c:pt>
                <c:pt idx="19">
                  <c:v>2.15</c:v>
                </c:pt>
                <c:pt idx="21">
                  <c:v>2.15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0</c:v>
                </c:pt>
                <c:pt idx="30">
                  <c:v>1.2</c:v>
                </c:pt>
                <c:pt idx="31">
                  <c:v>1.2</c:v>
                </c:pt>
                <c:pt idx="33">
                  <c:v>1.2</c:v>
                </c:pt>
                <c:pt idx="34">
                  <c:v>1.3</c:v>
                </c:pt>
                <c:pt idx="36">
                  <c:v>1.3</c:v>
                </c:pt>
                <c:pt idx="37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68-4984-8AB0-59563D5C14E1}"/>
            </c:ext>
          </c:extLst>
        </c:ser>
        <c:ser>
          <c:idx val="1"/>
          <c:order val="1"/>
          <c:tx>
            <c:v>N.F.P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2B323AA-695B-4CCF-B532-77FF1533C1CF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datos'!$Q$44</c:f>
              <c:numCache>
                <c:formatCode>General</c:formatCode>
                <c:ptCount val="1"/>
                <c:pt idx="0">
                  <c:v>0.97500000000000009</c:v>
                </c:pt>
              </c:numCache>
            </c:numRef>
          </c:xVal>
          <c:yVal>
            <c:numRef>
              <c:f>'base de datos'!$R$44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datos'!$P$44</c15:f>
                <c15:dlblRangeCache>
                  <c:ptCount val="1"/>
                  <c:pt idx="0">
                    <c:v>N.F.P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E168-4984-8AB0-59563D5C14E1}"/>
            </c:ext>
          </c:extLst>
        </c:ser>
        <c:ser>
          <c:idx val="2"/>
          <c:order val="2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datos'!$Q$46:$Q$71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9">
                  <c:v>1.25</c:v>
                </c:pt>
                <c:pt idx="10">
                  <c:v>1.35</c:v>
                </c:pt>
                <c:pt idx="12">
                  <c:v>1.3</c:v>
                </c:pt>
                <c:pt idx="13">
                  <c:v>1.3</c:v>
                </c:pt>
                <c:pt idx="15">
                  <c:v>1.35</c:v>
                </c:pt>
                <c:pt idx="16">
                  <c:v>1.25</c:v>
                </c:pt>
                <c:pt idx="18">
                  <c:v>1.45</c:v>
                </c:pt>
                <c:pt idx="19">
                  <c:v>1.55</c:v>
                </c:pt>
                <c:pt idx="21">
                  <c:v>1.5</c:v>
                </c:pt>
                <c:pt idx="22">
                  <c:v>1.5</c:v>
                </c:pt>
                <c:pt idx="24">
                  <c:v>1.55</c:v>
                </c:pt>
                <c:pt idx="25">
                  <c:v>1.45</c:v>
                </c:pt>
              </c:numCache>
            </c:numRef>
          </c:xVal>
          <c:yVal>
            <c:numRef>
              <c:f>'base de datos'!$R$46:$R$71</c:f>
              <c:numCache>
                <c:formatCode>General</c:formatCode>
                <c:ptCount val="26"/>
                <c:pt idx="0">
                  <c:v>-0.1</c:v>
                </c:pt>
                <c:pt idx="1">
                  <c:v>-0.2</c:v>
                </c:pt>
                <c:pt idx="3">
                  <c:v>-0.15000000000000002</c:v>
                </c:pt>
                <c:pt idx="4">
                  <c:v>-0.15000000000000002</c:v>
                </c:pt>
                <c:pt idx="6">
                  <c:v>-0.1</c:v>
                </c:pt>
                <c:pt idx="7">
                  <c:v>-0.2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0.6</c:v>
                </c:pt>
                <c:pt idx="15">
                  <c:v>0.6</c:v>
                </c:pt>
                <c:pt idx="16">
                  <c:v>0.6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1.2</c:v>
                </c:pt>
                <c:pt idx="24">
                  <c:v>1.2</c:v>
                </c:pt>
                <c:pt idx="25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168-4984-8AB0-59563D5C14E1}"/>
            </c:ext>
          </c:extLst>
        </c:ser>
        <c:ser>
          <c:idx val="3"/>
          <c:order val="3"/>
          <c:tx>
            <c:v>Bz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2DE3ABD-FDDE-46D0-8D17-F8880E807A41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168-4984-8AB0-59563D5C14E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datos'!$Q$73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datos'!$R$73</c:f>
              <c:numCache>
                <c:formatCode>General</c:formatCode>
                <c:ptCount val="1"/>
                <c:pt idx="0">
                  <c:v>-0.15000000000000002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datos'!$P$73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E168-4984-8AB0-59563D5C14E1}"/>
            </c:ext>
          </c:extLst>
        </c:ser>
        <c:ser>
          <c:idx val="4"/>
          <c:order val="4"/>
          <c:tx>
            <c:v>hz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4687C24-390F-4EDA-8329-D85E21BED8BF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168-4984-8AB0-59563D5C14E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datos'!$Q$74</c:f>
              <c:numCache>
                <c:formatCode>General</c:formatCode>
                <c:ptCount val="1"/>
                <c:pt idx="0">
                  <c:v>1.3</c:v>
                </c:pt>
              </c:numCache>
            </c:numRef>
          </c:xVal>
          <c:yVal>
            <c:numRef>
              <c:f>'base de datos'!$R$74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datos'!$P$74</c15:f>
                <c15:dlblRangeCache>
                  <c:ptCount val="1"/>
                  <c:pt idx="0">
                    <c:v>0.60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E168-4984-8AB0-59563D5C14E1}"/>
            </c:ext>
          </c:extLst>
        </c:ser>
        <c:ser>
          <c:idx val="5"/>
          <c:order val="5"/>
          <c:tx>
            <c:v>Df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4F59522-3808-4632-B3B0-3B7E1292B3D0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168-4984-8AB0-59563D5C14E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datos'!$Q$75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'base de datos'!$R$75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datos'!$P$75</c15:f>
                <c15:dlblRangeCache>
                  <c:ptCount val="1"/>
                  <c:pt idx="0">
                    <c:v>1.20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E168-4984-8AB0-59563D5C14E1}"/>
            </c:ext>
          </c:extLst>
        </c:ser>
        <c:ser>
          <c:idx val="6"/>
          <c:order val="6"/>
          <c:tx>
            <c:v>Øexc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datos'!$Q$77:$Q$84</c:f>
              <c:numCache>
                <c:formatCode>General</c:formatCode>
                <c:ptCount val="8"/>
                <c:pt idx="0">
                  <c:v>7.4999999999999997E-2</c:v>
                </c:pt>
                <c:pt idx="1">
                  <c:v>7.4999999999999997E-2</c:v>
                </c:pt>
                <c:pt idx="3">
                  <c:v>7.4999999999999997E-2</c:v>
                </c:pt>
                <c:pt idx="4">
                  <c:v>1.0250000000000001</c:v>
                </c:pt>
                <c:pt idx="6">
                  <c:v>1.0250000000000001</c:v>
                </c:pt>
                <c:pt idx="7">
                  <c:v>1.0250000000000001</c:v>
                </c:pt>
              </c:numCache>
            </c:numRef>
          </c:xVal>
          <c:yVal>
            <c:numRef>
              <c:f>'base de datos'!$R$77:$R$84</c:f>
              <c:numCache>
                <c:formatCode>General</c:formatCode>
                <c:ptCount val="8"/>
                <c:pt idx="0">
                  <c:v>0.17499999999999999</c:v>
                </c:pt>
                <c:pt idx="1">
                  <c:v>9.9999999999999992E-2</c:v>
                </c:pt>
                <c:pt idx="3">
                  <c:v>9.9999999999999992E-2</c:v>
                </c:pt>
                <c:pt idx="4">
                  <c:v>9.9999999999999992E-2</c:v>
                </c:pt>
                <c:pt idx="6">
                  <c:v>9.9999999999999992E-2</c:v>
                </c:pt>
                <c:pt idx="7">
                  <c:v>0.17499999999999999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168-4984-8AB0-59563D5C14E1}"/>
            </c:ext>
          </c:extLst>
        </c:ser>
        <c:ser>
          <c:idx val="7"/>
          <c:order val="7"/>
          <c:tx>
            <c:v>Øtran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'base de datos'!$Q$86:$Q$104</c:f>
              <c:numCache>
                <c:formatCode>General</c:formatCode>
                <c:ptCount val="19"/>
                <c:pt idx="0">
                  <c:v>0.26200000000000001</c:v>
                </c:pt>
                <c:pt idx="2">
                  <c:v>0.44900000000000001</c:v>
                </c:pt>
                <c:pt idx="4">
                  <c:v>0.63600000000000001</c:v>
                </c:pt>
                <c:pt idx="6">
                  <c:v>0.82299999999999995</c:v>
                </c:pt>
                <c:pt idx="8">
                  <c:v>1.0100000000000002</c:v>
                </c:pt>
                <c:pt idx="10">
                  <c:v>0.1</c:v>
                </c:pt>
                <c:pt idx="12">
                  <c:v>0.1</c:v>
                </c:pt>
                <c:pt idx="14">
                  <c:v>0.1</c:v>
                </c:pt>
                <c:pt idx="16">
                  <c:v>0.1</c:v>
                </c:pt>
                <c:pt idx="18">
                  <c:v>0.1</c:v>
                </c:pt>
              </c:numCache>
            </c:numRef>
          </c:xVal>
          <c:yVal>
            <c:numRef>
              <c:f>'base de datos'!$R$86:$R$104</c:f>
              <c:numCache>
                <c:formatCode>General</c:formatCode>
                <c:ptCount val="19"/>
                <c:pt idx="0">
                  <c:v>0.11499999999999999</c:v>
                </c:pt>
                <c:pt idx="2">
                  <c:v>0.11499999999999999</c:v>
                </c:pt>
                <c:pt idx="4">
                  <c:v>0.11499999999999999</c:v>
                </c:pt>
                <c:pt idx="6">
                  <c:v>0.11499999999999999</c:v>
                </c:pt>
                <c:pt idx="8">
                  <c:v>0.11499999999999999</c:v>
                </c:pt>
                <c:pt idx="10">
                  <c:v>0.115</c:v>
                </c:pt>
                <c:pt idx="12">
                  <c:v>0.115</c:v>
                </c:pt>
                <c:pt idx="14">
                  <c:v>0.115</c:v>
                </c:pt>
                <c:pt idx="16">
                  <c:v>0.115</c:v>
                </c:pt>
                <c:pt idx="18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168-4984-8AB0-59563D5C14E1}"/>
            </c:ext>
          </c:extLst>
        </c:ser>
        <c:ser>
          <c:idx val="8"/>
          <c:order val="8"/>
          <c:tx>
            <c:v>Øexc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ED90360-A010-4A05-B40C-A459B3BE2AA2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datos'!$Q$107</c:f>
              <c:numCache>
                <c:formatCode>General</c:formatCode>
                <c:ptCount val="1"/>
                <c:pt idx="0">
                  <c:v>0.35000000000000003</c:v>
                </c:pt>
              </c:numCache>
            </c:numRef>
          </c:xVal>
          <c:yVal>
            <c:numRef>
              <c:f>'base de datos'!$R$107</c:f>
              <c:numCache>
                <c:formatCode>General</c:formatCode>
                <c:ptCount val="1"/>
                <c:pt idx="0">
                  <c:v>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datos'!$P$107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E168-4984-8AB0-59563D5C14E1}"/>
            </c:ext>
          </c:extLst>
        </c:ser>
        <c:ser>
          <c:idx val="9"/>
          <c:order val="9"/>
          <c:tx>
            <c:v>Øexc #barras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DA1B5D5-2566-4604-B09E-783BECB71EC1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datos'!$Q$106</c:f>
              <c:numCache>
                <c:formatCode>General</c:formatCode>
                <c:ptCount val="1"/>
                <c:pt idx="0">
                  <c:v>0.16500000000000004</c:v>
                </c:pt>
              </c:numCache>
            </c:numRef>
          </c:xVal>
          <c:yVal>
            <c:numRef>
              <c:f>'base de datos'!$R$106</c:f>
              <c:numCache>
                <c:formatCode>General</c:formatCode>
                <c:ptCount val="1"/>
                <c:pt idx="0">
                  <c:v>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datos'!$P$106</c15:f>
                <c15:dlblRangeCache>
                  <c:ptCount val="1"/>
                  <c:pt idx="0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168-4984-8AB0-59563D5C14E1}"/>
            </c:ext>
          </c:extLst>
        </c:ser>
        <c:ser>
          <c:idx val="10"/>
          <c:order val="10"/>
          <c:tx>
            <c:v>Øexc Sreq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13B9A54-5698-48E1-886B-0E4254CD0AF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'base de datos'!$Q$108</c:f>
              <c:numCache>
                <c:formatCode>General</c:formatCode>
                <c:ptCount val="1"/>
                <c:pt idx="0">
                  <c:v>0.60499999999999998</c:v>
                </c:pt>
              </c:numCache>
            </c:numRef>
          </c:xVal>
          <c:yVal>
            <c:numRef>
              <c:f>'base de datos'!$R$108</c:f>
              <c:numCache>
                <c:formatCode>General</c:formatCode>
                <c:ptCount val="1"/>
                <c:pt idx="0">
                  <c:v>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datos'!$P$108</c15:f>
                <c15:dlblRangeCache>
                  <c:ptCount val="1"/>
                  <c:pt idx="0">
                    <c:v>@0.17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E168-4984-8AB0-59563D5C14E1}"/>
            </c:ext>
          </c:extLst>
        </c:ser>
        <c:ser>
          <c:idx val="11"/>
          <c:order val="11"/>
          <c:tx>
            <c:v>Ind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datos'!$Q$114:$Q$121</c:f>
              <c:numCache>
                <c:formatCode>General</c:formatCode>
                <c:ptCount val="8"/>
                <c:pt idx="0">
                  <c:v>0.15000000000000002</c:v>
                </c:pt>
                <c:pt idx="1">
                  <c:v>0.30000000000000004</c:v>
                </c:pt>
                <c:pt idx="3">
                  <c:v>0.63600000000000001</c:v>
                </c:pt>
                <c:pt idx="4">
                  <c:v>0.60000000000000009</c:v>
                </c:pt>
                <c:pt idx="6">
                  <c:v>0.82299999999999995</c:v>
                </c:pt>
                <c:pt idx="7">
                  <c:v>0.60000000000000009</c:v>
                </c:pt>
              </c:numCache>
            </c:numRef>
          </c:xVal>
          <c:yVal>
            <c:numRef>
              <c:f>'base de datos'!$R$114:$R$121</c:f>
              <c:numCache>
                <c:formatCode>General</c:formatCode>
                <c:ptCount val="8"/>
                <c:pt idx="0">
                  <c:v>9.9999999999999992E-2</c:v>
                </c:pt>
                <c:pt idx="1">
                  <c:v>0.42499999999999999</c:v>
                </c:pt>
                <c:pt idx="3">
                  <c:v>0.11499999999999999</c:v>
                </c:pt>
                <c:pt idx="4">
                  <c:v>0.25</c:v>
                </c:pt>
                <c:pt idx="6">
                  <c:v>0.11499999999999999</c:v>
                </c:pt>
                <c:pt idx="7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168-4984-8AB0-59563D5C14E1}"/>
            </c:ext>
          </c:extLst>
        </c:ser>
        <c:ser>
          <c:idx val="12"/>
          <c:order val="12"/>
          <c:tx>
            <c:v>Øtran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CE0D731-D220-44F2-9D84-3DCBAA771C11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datos'!$Q$111</c:f>
              <c:numCache>
                <c:formatCode>General</c:formatCode>
                <c:ptCount val="1"/>
                <c:pt idx="0">
                  <c:v>0.60000000000000009</c:v>
                </c:pt>
              </c:numCache>
            </c:numRef>
          </c:xVal>
          <c:yVal>
            <c:numRef>
              <c:f>'base de datos'!$R$111</c:f>
              <c:numCache>
                <c:formatCode>General</c:formatCode>
                <c:ptCount val="1"/>
                <c:pt idx="0">
                  <c:v>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datos'!$P$111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168-4984-8AB0-59563D5C14E1}"/>
            </c:ext>
          </c:extLst>
        </c:ser>
        <c:ser>
          <c:idx val="13"/>
          <c:order val="13"/>
          <c:tx>
            <c:v>Øtran #barras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CE391A6-EC9F-4103-A4BE-FD49D2A5778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'base de datos'!$Q$110</c:f>
              <c:numCache>
                <c:formatCode>General</c:formatCode>
                <c:ptCount val="1"/>
                <c:pt idx="0">
                  <c:v>0.41500000000000009</c:v>
                </c:pt>
              </c:numCache>
            </c:numRef>
          </c:xVal>
          <c:yVal>
            <c:numRef>
              <c:f>'base de datos'!$R$110</c:f>
              <c:numCache>
                <c:formatCode>General</c:formatCode>
                <c:ptCount val="1"/>
                <c:pt idx="0">
                  <c:v>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datos'!$P$110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E168-4984-8AB0-59563D5C14E1}"/>
            </c:ext>
          </c:extLst>
        </c:ser>
        <c:ser>
          <c:idx val="14"/>
          <c:order val="14"/>
          <c:tx>
            <c:v>Øtran Sreq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A34C050-2656-4A77-9139-83E574E87DF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'base de datos'!$Q$112</c:f>
              <c:numCache>
                <c:formatCode>General</c:formatCode>
                <c:ptCount val="1"/>
                <c:pt idx="0">
                  <c:v>0.85500000000000009</c:v>
                </c:pt>
              </c:numCache>
            </c:numRef>
          </c:xVal>
          <c:yVal>
            <c:numRef>
              <c:f>'base de datos'!$R$112</c:f>
              <c:numCache>
                <c:formatCode>General</c:formatCode>
                <c:ptCount val="1"/>
                <c:pt idx="0">
                  <c:v>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datos'!$P$112</c15:f>
                <c15:dlblRangeCache>
                  <c:ptCount val="1"/>
                  <c:pt idx="0">
                    <c:v>@0.18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E168-4984-8AB0-59563D5C14E1}"/>
            </c:ext>
          </c:extLst>
        </c:ser>
        <c:ser>
          <c:idx val="15"/>
          <c:order val="15"/>
          <c:tx>
            <c:v>cota Elevación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45261A0-FEB5-4FA6-AA90-F4D761D9169B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168-4984-8AB0-59563D5C1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datos'!$Q$123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datos'!$R$123</c:f>
              <c:numCache>
                <c:formatCode>General</c:formatCode>
                <c:ptCount val="1"/>
                <c:pt idx="0">
                  <c:v>-0.2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datos'!$P$123</c15:f>
                <c15:dlblRangeCache>
                  <c:ptCount val="1"/>
                  <c:pt idx="0">
                    <c:v>ELEVACIÓN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0-E168-4984-8AB0-59563D5C14E1}"/>
            </c:ext>
          </c:extLst>
        </c:ser>
        <c:ser>
          <c:idx val="16"/>
          <c:order val="16"/>
          <c:tx>
            <c:v>HM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CB62F3-6896-4894-BCAB-D113B85DEE5E}" type="CELLRANGE">
                      <a:rPr lang="en-US"/>
                      <a:pPr>
                        <a:defRPr>
                          <a:solidFill>
                            <a:srgbClr val="002060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45909090909084"/>
                      <c:h val="8.00805555555555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009-4946-AB3B-D9D67781AB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datos'!$AB$155</c:f>
              <c:numCache>
                <c:formatCode>General</c:formatCode>
                <c:ptCount val="1"/>
                <c:pt idx="0">
                  <c:v>1.55</c:v>
                </c:pt>
              </c:numCache>
            </c:numRef>
          </c:xVal>
          <c:yVal>
            <c:numRef>
              <c:f>'base de datos'!$AC$155</c:f>
              <c:numCache>
                <c:formatCode>General</c:formatCode>
                <c:ptCount val="1"/>
                <c:pt idx="0">
                  <c:v>-0.2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datos'!$Q$155</c15:f>
                <c15:dlblRangeCache>
                  <c:ptCount val="1"/>
                  <c:pt idx="0">
                    <c:v>hebmerma.com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C009-4946-AB3B-D9D67781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09295"/>
        <c:axId val="410280447"/>
      </c:scatterChart>
      <c:valAx>
        <c:axId val="4152092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0280447"/>
        <c:crosses val="autoZero"/>
        <c:crossBetween val="midCat"/>
      </c:valAx>
      <c:valAx>
        <c:axId val="410280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5209295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es-PE" sz="1200">
                <a:solidFill>
                  <a:srgbClr val="C00000"/>
                </a:solidFill>
              </a:rPr>
              <a:t>Gráfico para la determinación de presiones bajo la cimentación.</a:t>
            </a:r>
          </a:p>
        </c:rich>
      </c:tx>
      <c:layout>
        <c:manualLayout>
          <c:xMode val="edge"/>
          <c:yMode val="edge"/>
          <c:x val="0.16889074019331202"/>
          <c:y val="2.0618562280099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2222222222222223E-2"/>
          <c:y val="1.2623275730112377E-2"/>
          <c:w val="0.95111111111111113"/>
          <c:h val="0.93057198348438197"/>
        </c:manualLayout>
      </c:layout>
      <c:scatterChart>
        <c:scatterStyle val="smoothMarker"/>
        <c:varyColors val="0"/>
        <c:ser>
          <c:idx val="0"/>
          <c:order val="0"/>
          <c:tx>
            <c:v>Diagrama Horizontal</c:v>
          </c:tx>
          <c:spPr>
            <a:ln w="127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'base de datos'!$C$125:$C$192</c:f>
              <c:numCache>
                <c:formatCode>General</c:formatCode>
                <c:ptCount val="68"/>
                <c:pt idx="0">
                  <c:v>0</c:v>
                </c:pt>
                <c:pt idx="1">
                  <c:v>12.8</c:v>
                </c:pt>
                <c:pt idx="3">
                  <c:v>0</c:v>
                </c:pt>
                <c:pt idx="4">
                  <c:v>12.8</c:v>
                </c:pt>
                <c:pt idx="6">
                  <c:v>0</c:v>
                </c:pt>
                <c:pt idx="7">
                  <c:v>12.8</c:v>
                </c:pt>
                <c:pt idx="9">
                  <c:v>0</c:v>
                </c:pt>
                <c:pt idx="10">
                  <c:v>12.8</c:v>
                </c:pt>
                <c:pt idx="12">
                  <c:v>0</c:v>
                </c:pt>
                <c:pt idx="13">
                  <c:v>12.8</c:v>
                </c:pt>
                <c:pt idx="15">
                  <c:v>0</c:v>
                </c:pt>
                <c:pt idx="16">
                  <c:v>12.8</c:v>
                </c:pt>
                <c:pt idx="18">
                  <c:v>0</c:v>
                </c:pt>
                <c:pt idx="19">
                  <c:v>12.8</c:v>
                </c:pt>
                <c:pt idx="21">
                  <c:v>0</c:v>
                </c:pt>
                <c:pt idx="22">
                  <c:v>12.8</c:v>
                </c:pt>
                <c:pt idx="24">
                  <c:v>0</c:v>
                </c:pt>
                <c:pt idx="25">
                  <c:v>12.8</c:v>
                </c:pt>
                <c:pt idx="27">
                  <c:v>0</c:v>
                </c:pt>
                <c:pt idx="28">
                  <c:v>12.8</c:v>
                </c:pt>
                <c:pt idx="30">
                  <c:v>0</c:v>
                </c:pt>
                <c:pt idx="31">
                  <c:v>12.8</c:v>
                </c:pt>
                <c:pt idx="33">
                  <c:v>0</c:v>
                </c:pt>
                <c:pt idx="34">
                  <c:v>12.8</c:v>
                </c:pt>
                <c:pt idx="36">
                  <c:v>0</c:v>
                </c:pt>
                <c:pt idx="37">
                  <c:v>12.8</c:v>
                </c:pt>
                <c:pt idx="39">
                  <c:v>0</c:v>
                </c:pt>
                <c:pt idx="40">
                  <c:v>12.8</c:v>
                </c:pt>
                <c:pt idx="42">
                  <c:v>0</c:v>
                </c:pt>
                <c:pt idx="43">
                  <c:v>12.8</c:v>
                </c:pt>
                <c:pt idx="45">
                  <c:v>0</c:v>
                </c:pt>
                <c:pt idx="46">
                  <c:v>12.8</c:v>
                </c:pt>
                <c:pt idx="48">
                  <c:v>0</c:v>
                </c:pt>
                <c:pt idx="49">
                  <c:v>12.8</c:v>
                </c:pt>
                <c:pt idx="51">
                  <c:v>0</c:v>
                </c:pt>
                <c:pt idx="52">
                  <c:v>12.8</c:v>
                </c:pt>
                <c:pt idx="54">
                  <c:v>0</c:v>
                </c:pt>
                <c:pt idx="55">
                  <c:v>12.8</c:v>
                </c:pt>
                <c:pt idx="57">
                  <c:v>0</c:v>
                </c:pt>
                <c:pt idx="58">
                  <c:v>12.8</c:v>
                </c:pt>
                <c:pt idx="60">
                  <c:v>0</c:v>
                </c:pt>
                <c:pt idx="61">
                  <c:v>12.8</c:v>
                </c:pt>
                <c:pt idx="63">
                  <c:v>0</c:v>
                </c:pt>
                <c:pt idx="64">
                  <c:v>12.8</c:v>
                </c:pt>
                <c:pt idx="66">
                  <c:v>0</c:v>
                </c:pt>
                <c:pt idx="67">
                  <c:v>12.8</c:v>
                </c:pt>
              </c:numCache>
            </c:numRef>
          </c:xVal>
          <c:yVal>
            <c:numRef>
              <c:f>'base de datos'!$D$125:$D$192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3">
                  <c:v>0.8</c:v>
                </c:pt>
                <c:pt idx="4">
                  <c:v>0.8</c:v>
                </c:pt>
                <c:pt idx="6">
                  <c:v>1.35</c:v>
                </c:pt>
                <c:pt idx="7">
                  <c:v>1.35</c:v>
                </c:pt>
                <c:pt idx="9">
                  <c:v>1.75</c:v>
                </c:pt>
                <c:pt idx="10">
                  <c:v>1.75</c:v>
                </c:pt>
                <c:pt idx="12">
                  <c:v>2.1</c:v>
                </c:pt>
                <c:pt idx="13">
                  <c:v>2.1</c:v>
                </c:pt>
                <c:pt idx="15">
                  <c:v>2.65</c:v>
                </c:pt>
                <c:pt idx="16">
                  <c:v>2.65</c:v>
                </c:pt>
                <c:pt idx="18">
                  <c:v>3.1</c:v>
                </c:pt>
                <c:pt idx="19">
                  <c:v>3.1</c:v>
                </c:pt>
                <c:pt idx="21">
                  <c:v>3.45</c:v>
                </c:pt>
                <c:pt idx="22">
                  <c:v>3.45</c:v>
                </c:pt>
                <c:pt idx="24">
                  <c:v>3.75</c:v>
                </c:pt>
                <c:pt idx="25">
                  <c:v>3.75</c:v>
                </c:pt>
                <c:pt idx="27">
                  <c:v>4</c:v>
                </c:pt>
                <c:pt idx="28">
                  <c:v>4</c:v>
                </c:pt>
                <c:pt idx="30">
                  <c:v>4.25</c:v>
                </c:pt>
                <c:pt idx="31">
                  <c:v>4.25</c:v>
                </c:pt>
                <c:pt idx="33">
                  <c:v>4.45</c:v>
                </c:pt>
                <c:pt idx="34">
                  <c:v>4.45</c:v>
                </c:pt>
                <c:pt idx="36">
                  <c:v>5.25</c:v>
                </c:pt>
                <c:pt idx="37">
                  <c:v>5.25</c:v>
                </c:pt>
                <c:pt idx="39">
                  <c:v>5.8</c:v>
                </c:pt>
                <c:pt idx="40">
                  <c:v>5.8</c:v>
                </c:pt>
                <c:pt idx="42">
                  <c:v>6.25</c:v>
                </c:pt>
                <c:pt idx="43">
                  <c:v>6.25</c:v>
                </c:pt>
                <c:pt idx="45">
                  <c:v>6.65</c:v>
                </c:pt>
                <c:pt idx="46">
                  <c:v>6.65</c:v>
                </c:pt>
                <c:pt idx="48">
                  <c:v>7.15</c:v>
                </c:pt>
                <c:pt idx="49">
                  <c:v>7.15</c:v>
                </c:pt>
                <c:pt idx="51">
                  <c:v>7.55</c:v>
                </c:pt>
                <c:pt idx="52">
                  <c:v>7.55</c:v>
                </c:pt>
                <c:pt idx="54">
                  <c:v>7.95</c:v>
                </c:pt>
                <c:pt idx="55">
                  <c:v>7.95</c:v>
                </c:pt>
                <c:pt idx="57">
                  <c:v>8.1999999999999993</c:v>
                </c:pt>
                <c:pt idx="58">
                  <c:v>8.1999999999999993</c:v>
                </c:pt>
                <c:pt idx="60">
                  <c:v>8.4499999999999993</c:v>
                </c:pt>
                <c:pt idx="61">
                  <c:v>8.4499999999999993</c:v>
                </c:pt>
                <c:pt idx="63">
                  <c:v>8.65</c:v>
                </c:pt>
                <c:pt idx="64">
                  <c:v>8.65</c:v>
                </c:pt>
                <c:pt idx="66">
                  <c:v>8.9</c:v>
                </c:pt>
                <c:pt idx="67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63-4F73-B0DE-2E366CD0601D}"/>
            </c:ext>
          </c:extLst>
        </c:ser>
        <c:ser>
          <c:idx val="1"/>
          <c:order val="1"/>
          <c:tx>
            <c:v>Diagrama Vertical</c:v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'base de datos'!$F$125:$F$192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1.9</c:v>
                </c:pt>
                <c:pt idx="7">
                  <c:v>1.9</c:v>
                </c:pt>
                <c:pt idx="9">
                  <c:v>2.5</c:v>
                </c:pt>
                <c:pt idx="10">
                  <c:v>2.5</c:v>
                </c:pt>
                <c:pt idx="12">
                  <c:v>3.05</c:v>
                </c:pt>
                <c:pt idx="13">
                  <c:v>3.05</c:v>
                </c:pt>
                <c:pt idx="15">
                  <c:v>3.8</c:v>
                </c:pt>
                <c:pt idx="16">
                  <c:v>3.8</c:v>
                </c:pt>
                <c:pt idx="18">
                  <c:v>4.45</c:v>
                </c:pt>
                <c:pt idx="19">
                  <c:v>4.45</c:v>
                </c:pt>
                <c:pt idx="21">
                  <c:v>4.95</c:v>
                </c:pt>
                <c:pt idx="22">
                  <c:v>4.95</c:v>
                </c:pt>
                <c:pt idx="24">
                  <c:v>5.4</c:v>
                </c:pt>
                <c:pt idx="25">
                  <c:v>5.4</c:v>
                </c:pt>
                <c:pt idx="27">
                  <c:v>5.75</c:v>
                </c:pt>
                <c:pt idx="28">
                  <c:v>5.75</c:v>
                </c:pt>
                <c:pt idx="30">
                  <c:v>6.1</c:v>
                </c:pt>
                <c:pt idx="31">
                  <c:v>6.1</c:v>
                </c:pt>
                <c:pt idx="33">
                  <c:v>6.4</c:v>
                </c:pt>
                <c:pt idx="34">
                  <c:v>6.4</c:v>
                </c:pt>
                <c:pt idx="36">
                  <c:v>7.55</c:v>
                </c:pt>
                <c:pt idx="37">
                  <c:v>7.55</c:v>
                </c:pt>
                <c:pt idx="39">
                  <c:v>8.3000000000000007</c:v>
                </c:pt>
                <c:pt idx="40">
                  <c:v>8.3000000000000007</c:v>
                </c:pt>
                <c:pt idx="42">
                  <c:v>8.9499999999999993</c:v>
                </c:pt>
                <c:pt idx="43">
                  <c:v>8.9499999999999993</c:v>
                </c:pt>
                <c:pt idx="45">
                  <c:v>9.4499999999999993</c:v>
                </c:pt>
                <c:pt idx="46">
                  <c:v>9.4499999999999993</c:v>
                </c:pt>
                <c:pt idx="48">
                  <c:v>10.25</c:v>
                </c:pt>
                <c:pt idx="49">
                  <c:v>10.25</c:v>
                </c:pt>
                <c:pt idx="51">
                  <c:v>10.85</c:v>
                </c:pt>
                <c:pt idx="52">
                  <c:v>10.85</c:v>
                </c:pt>
                <c:pt idx="54">
                  <c:v>11.4</c:v>
                </c:pt>
                <c:pt idx="55">
                  <c:v>11.4</c:v>
                </c:pt>
                <c:pt idx="57">
                  <c:v>11.85</c:v>
                </c:pt>
                <c:pt idx="58">
                  <c:v>11.85</c:v>
                </c:pt>
                <c:pt idx="60">
                  <c:v>12.2</c:v>
                </c:pt>
                <c:pt idx="61">
                  <c:v>12.2</c:v>
                </c:pt>
                <c:pt idx="63">
                  <c:v>12.5</c:v>
                </c:pt>
                <c:pt idx="64">
                  <c:v>12.5</c:v>
                </c:pt>
                <c:pt idx="66">
                  <c:v>12.8</c:v>
                </c:pt>
                <c:pt idx="67">
                  <c:v>12.8</c:v>
                </c:pt>
              </c:numCache>
            </c:numRef>
          </c:xVal>
          <c:yVal>
            <c:numRef>
              <c:f>'base de datos'!$G$125:$G$192</c:f>
              <c:numCache>
                <c:formatCode>General</c:formatCode>
                <c:ptCount val="68"/>
                <c:pt idx="0">
                  <c:v>0</c:v>
                </c:pt>
                <c:pt idx="1">
                  <c:v>8.9</c:v>
                </c:pt>
                <c:pt idx="3">
                  <c:v>0</c:v>
                </c:pt>
                <c:pt idx="4">
                  <c:v>8.9</c:v>
                </c:pt>
                <c:pt idx="6">
                  <c:v>0</c:v>
                </c:pt>
                <c:pt idx="7">
                  <c:v>8.9</c:v>
                </c:pt>
                <c:pt idx="9">
                  <c:v>0</c:v>
                </c:pt>
                <c:pt idx="10">
                  <c:v>8.9</c:v>
                </c:pt>
                <c:pt idx="12">
                  <c:v>0</c:v>
                </c:pt>
                <c:pt idx="13">
                  <c:v>8.9</c:v>
                </c:pt>
                <c:pt idx="15">
                  <c:v>0</c:v>
                </c:pt>
                <c:pt idx="16">
                  <c:v>8.9</c:v>
                </c:pt>
                <c:pt idx="18">
                  <c:v>0</c:v>
                </c:pt>
                <c:pt idx="19">
                  <c:v>8.9</c:v>
                </c:pt>
                <c:pt idx="21">
                  <c:v>0</c:v>
                </c:pt>
                <c:pt idx="22">
                  <c:v>8.9</c:v>
                </c:pt>
                <c:pt idx="24">
                  <c:v>0</c:v>
                </c:pt>
                <c:pt idx="25">
                  <c:v>8.9</c:v>
                </c:pt>
                <c:pt idx="27">
                  <c:v>0</c:v>
                </c:pt>
                <c:pt idx="28">
                  <c:v>8.9</c:v>
                </c:pt>
                <c:pt idx="30">
                  <c:v>0</c:v>
                </c:pt>
                <c:pt idx="31">
                  <c:v>8.9</c:v>
                </c:pt>
                <c:pt idx="33">
                  <c:v>0</c:v>
                </c:pt>
                <c:pt idx="34">
                  <c:v>8.9</c:v>
                </c:pt>
                <c:pt idx="36">
                  <c:v>0</c:v>
                </c:pt>
                <c:pt idx="37">
                  <c:v>8.9</c:v>
                </c:pt>
                <c:pt idx="39">
                  <c:v>0</c:v>
                </c:pt>
                <c:pt idx="40">
                  <c:v>8.9</c:v>
                </c:pt>
                <c:pt idx="42">
                  <c:v>0</c:v>
                </c:pt>
                <c:pt idx="43">
                  <c:v>8.9</c:v>
                </c:pt>
                <c:pt idx="45">
                  <c:v>0</c:v>
                </c:pt>
                <c:pt idx="46">
                  <c:v>8.9</c:v>
                </c:pt>
                <c:pt idx="48">
                  <c:v>0</c:v>
                </c:pt>
                <c:pt idx="49">
                  <c:v>8.9</c:v>
                </c:pt>
                <c:pt idx="51">
                  <c:v>0</c:v>
                </c:pt>
                <c:pt idx="52">
                  <c:v>8.9</c:v>
                </c:pt>
                <c:pt idx="54">
                  <c:v>0</c:v>
                </c:pt>
                <c:pt idx="55">
                  <c:v>8.9</c:v>
                </c:pt>
                <c:pt idx="57">
                  <c:v>0</c:v>
                </c:pt>
                <c:pt idx="58">
                  <c:v>8.9</c:v>
                </c:pt>
                <c:pt idx="60">
                  <c:v>0</c:v>
                </c:pt>
                <c:pt idx="61">
                  <c:v>8.9</c:v>
                </c:pt>
                <c:pt idx="63">
                  <c:v>0</c:v>
                </c:pt>
                <c:pt idx="64">
                  <c:v>8.9</c:v>
                </c:pt>
                <c:pt idx="66">
                  <c:v>0</c:v>
                </c:pt>
                <c:pt idx="67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63-4F73-B0DE-2E366CD0601D}"/>
            </c:ext>
          </c:extLst>
        </c:ser>
        <c:ser>
          <c:idx val="2"/>
          <c:order val="2"/>
          <c:tx>
            <c:v>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292C7A1-BCF4-49E5-B3A2-E7CE845544B4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C63-4F73-B0DE-2E366CD060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C63-4F73-B0DE-2E366CD0601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6872202-2D90-4877-B8E5-C1B7CD8F831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C63-4F73-B0DE-2E366CD0601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C63-4F73-B0DE-2E366CD060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3895DC4-B65D-4017-96B5-4680B5B35B3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C63-4F73-B0DE-2E366CD0601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C63-4F73-B0DE-2E366CD0601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D2002D-3202-48B3-B253-997E63DCC4A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C63-4F73-B0DE-2E366CD0601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C63-4F73-B0DE-2E366CD0601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9B3C10A-586F-49B1-A65E-65794B8B3A5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C63-4F73-B0DE-2E366CD0601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C63-4F73-B0DE-2E366CD0601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197691F-4CC0-4213-8CFA-3B21B871CDF6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C63-4F73-B0DE-2E366CD0601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C63-4F73-B0DE-2E366CD0601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3393825-CCA6-4A84-9A3A-F2E018A70CB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C63-4F73-B0DE-2E366CD0601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C63-4F73-B0DE-2E366CD0601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A4EBC21-E4EB-46B7-B7DD-836C938CF49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C63-4F73-B0DE-2E366CD0601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C63-4F73-B0DE-2E366CD0601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6F90245-A17D-429F-B64F-A0FDAD15D308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C63-4F73-B0DE-2E366CD0601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C63-4F73-B0DE-2E366CD0601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7861563-3A14-429D-9C94-C3791C37225A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C63-4F73-B0DE-2E366CD0601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C63-4F73-B0DE-2E366CD0601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83D8E21-FC01-4D29-B8E4-66C1361B878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C63-4F73-B0DE-2E366CD0601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C63-4F73-B0DE-2E366CD0601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2BE1C7F-2431-499A-AC98-9FC7A645F21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C63-4F73-B0DE-2E366CD0601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C63-4F73-B0DE-2E366CD0601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316A656-F976-4B95-A247-CAEC0CBFF22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C63-4F73-B0DE-2E366CD0601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C63-4F73-B0DE-2E366CD0601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7D9A011-EB0C-496B-8E2E-605ECC96335A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C63-4F73-B0DE-2E366CD0601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C63-4F73-B0DE-2E366CD0601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669818C-1107-4256-A848-F153AD4B708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C63-4F73-B0DE-2E366CD0601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C63-4F73-B0DE-2E366CD0601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25FF413-F32C-4A00-AAD9-7F1457ADF23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C63-4F73-B0DE-2E366CD0601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C63-4F73-B0DE-2E366CD0601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DB60999-3B7D-4659-AF6F-1063310D63A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C63-4F73-B0DE-2E366CD0601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C63-4F73-B0DE-2E366CD0601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845D2DD-D6A7-4650-A0E3-666EB6AB131D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C63-4F73-B0DE-2E366CD0601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C63-4F73-B0DE-2E366CD0601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92FB768-D90C-47CF-98BB-CFE3F65D998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C63-4F73-B0DE-2E366CD0601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C63-4F73-B0DE-2E366CD0601D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8FB2FD03-2DDB-4FE8-AE77-FE29F730D67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C63-4F73-B0DE-2E366CD0601D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C63-4F73-B0DE-2E366CD0601D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5901E05-BCFD-4BCC-BDFE-960E061BFC32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C63-4F73-B0DE-2E366CD0601D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C63-4F73-B0DE-2E366CD0601D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52C8954-1235-4F58-A793-E64E38B68397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C63-4F73-B0DE-2E366CD0601D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C63-4F73-B0DE-2E366CD0601D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8E30763-B4C8-4659-9925-6E4107ED521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C63-4F73-B0DE-2E366CD06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datos'!$J$125:$J$169</c:f>
              <c:numCache>
                <c:formatCode>General</c:formatCode>
                <c:ptCount val="4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</c:numCache>
            </c:numRef>
          </c:xVal>
          <c:yVal>
            <c:numRef>
              <c:f>'base de datos'!$K$125:$K$169</c:f>
              <c:numCache>
                <c:formatCode>General</c:formatCode>
                <c:ptCount val="45"/>
                <c:pt idx="0">
                  <c:v>0</c:v>
                </c:pt>
                <c:pt idx="2">
                  <c:v>0.8</c:v>
                </c:pt>
                <c:pt idx="4">
                  <c:v>1.35</c:v>
                </c:pt>
                <c:pt idx="6">
                  <c:v>1.75</c:v>
                </c:pt>
                <c:pt idx="8">
                  <c:v>2.1</c:v>
                </c:pt>
                <c:pt idx="10">
                  <c:v>2.65</c:v>
                </c:pt>
                <c:pt idx="12">
                  <c:v>3.1</c:v>
                </c:pt>
                <c:pt idx="14">
                  <c:v>3.45</c:v>
                </c:pt>
                <c:pt idx="16">
                  <c:v>3.75</c:v>
                </c:pt>
                <c:pt idx="18">
                  <c:v>4</c:v>
                </c:pt>
                <c:pt idx="20">
                  <c:v>4.25</c:v>
                </c:pt>
                <c:pt idx="22">
                  <c:v>4.45</c:v>
                </c:pt>
                <c:pt idx="24">
                  <c:v>5.25</c:v>
                </c:pt>
                <c:pt idx="26">
                  <c:v>5.8</c:v>
                </c:pt>
                <c:pt idx="28">
                  <c:v>6.25</c:v>
                </c:pt>
                <c:pt idx="30">
                  <c:v>6.65</c:v>
                </c:pt>
                <c:pt idx="32">
                  <c:v>7.15</c:v>
                </c:pt>
                <c:pt idx="34">
                  <c:v>7.55</c:v>
                </c:pt>
                <c:pt idx="36">
                  <c:v>7.95</c:v>
                </c:pt>
                <c:pt idx="38">
                  <c:v>8.1999999999999993</c:v>
                </c:pt>
                <c:pt idx="40">
                  <c:v>8.4499999999999993</c:v>
                </c:pt>
                <c:pt idx="42">
                  <c:v>8.65</c:v>
                </c:pt>
                <c:pt idx="44">
                  <c:v>8.9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datos'!$I$125:$I$169</c15:f>
                <c15:dlblRangeCache>
                  <c:ptCount val="45"/>
                  <c:pt idx="0">
                    <c:v>0.01</c:v>
                  </c:pt>
                  <c:pt idx="2">
                    <c:v>0.015</c:v>
                  </c:pt>
                  <c:pt idx="4">
                    <c:v>0.02</c:v>
                  </c:pt>
                  <c:pt idx="6">
                    <c:v>0.025</c:v>
                  </c:pt>
                  <c:pt idx="8">
                    <c:v>0.03</c:v>
                  </c:pt>
                  <c:pt idx="10">
                    <c:v>0.04</c:v>
                  </c:pt>
                  <c:pt idx="12">
                    <c:v>0.05</c:v>
                  </c:pt>
                  <c:pt idx="14">
                    <c:v>0.06</c:v>
                  </c:pt>
                  <c:pt idx="16">
                    <c:v>0.07</c:v>
                  </c:pt>
                  <c:pt idx="18">
                    <c:v>0.08</c:v>
                  </c:pt>
                  <c:pt idx="20">
                    <c:v>0.09</c:v>
                  </c:pt>
                  <c:pt idx="22">
                    <c:v>0.1</c:v>
                  </c:pt>
                  <c:pt idx="24">
                    <c:v>0.15</c:v>
                  </c:pt>
                  <c:pt idx="26">
                    <c:v>0.2</c:v>
                  </c:pt>
                  <c:pt idx="28">
                    <c:v>0.25</c:v>
                  </c:pt>
                  <c:pt idx="30">
                    <c:v>0.3</c:v>
                  </c:pt>
                  <c:pt idx="32">
                    <c:v>0.4</c:v>
                  </c:pt>
                  <c:pt idx="34">
                    <c:v>0.5</c:v>
                  </c:pt>
                  <c:pt idx="36">
                    <c:v>0.6</c:v>
                  </c:pt>
                  <c:pt idx="38">
                    <c:v>0.7</c:v>
                  </c:pt>
                  <c:pt idx="40">
                    <c:v>0.8</c:v>
                  </c:pt>
                  <c:pt idx="42">
                    <c:v>0.9</c:v>
                  </c:pt>
                  <c:pt idx="44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EC63-4F73-B0DE-2E366CD0601D}"/>
            </c:ext>
          </c:extLst>
        </c:ser>
        <c:ser>
          <c:idx val="3"/>
          <c:order val="3"/>
          <c:tx>
            <c:v>ρ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A7BF46B-0DE6-4109-8E08-3BB5CF44841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EC63-4F73-B0DE-2E366CD060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EC63-4F73-B0DE-2E366CD0601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999230-7AC4-462E-AE20-A716D8223A5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EC63-4F73-B0DE-2E366CD0601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EC63-4F73-B0DE-2E366CD060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1E078AA-1F51-4C85-93A4-8928C8E4FF02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EC63-4F73-B0DE-2E366CD0601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EC63-4F73-B0DE-2E366CD0601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D7C2979-C519-4C78-A734-B08C80BC626D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EC63-4F73-B0DE-2E366CD0601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EC63-4F73-B0DE-2E366CD0601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2BD0682-AA7E-45CC-9A8F-BE71456C89D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EC63-4F73-B0DE-2E366CD0601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EC63-4F73-B0DE-2E366CD0601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4BCFEDA-344B-4997-8A3A-B73CA6E62A2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EC63-4F73-B0DE-2E366CD0601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EC63-4F73-B0DE-2E366CD0601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2A52401-A4A3-4C56-99CA-78C70FDFCFD9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EC63-4F73-B0DE-2E366CD0601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EC63-4F73-B0DE-2E366CD0601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CA33C9A-92C6-44D2-BB1A-F4EF7EC27EA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EC63-4F73-B0DE-2E366CD0601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EC63-4F73-B0DE-2E366CD0601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6896319-70C2-41D6-A1A7-92730C86B8A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EC63-4F73-B0DE-2E366CD0601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EC63-4F73-B0DE-2E366CD0601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8C121B9-2760-4A94-9AAC-CC783782D32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EC63-4F73-B0DE-2E366CD0601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EC63-4F73-B0DE-2E366CD0601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F1DA79D-3AC1-4634-A2C4-288F1203656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EC63-4F73-B0DE-2E366CD0601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EC63-4F73-B0DE-2E366CD0601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FC2624B-AF94-4FC2-A3C0-7987E659B77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EC63-4F73-B0DE-2E366CD0601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EC63-4F73-B0DE-2E366CD0601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C27C8EB-87E9-40B7-91A1-080064106D27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EC63-4F73-B0DE-2E366CD0601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EC63-4F73-B0DE-2E366CD0601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22D619B-2CA8-48A5-B980-21BCA710CFD9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EC63-4F73-B0DE-2E366CD0601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EC63-4F73-B0DE-2E366CD0601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DC2CCF7-5129-4BCA-9560-19846CE93512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EC63-4F73-B0DE-2E366CD0601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EC63-4F73-B0DE-2E366CD0601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72627EC-3CB2-4954-9974-BFB4E143461A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EC63-4F73-B0DE-2E366CD0601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EC63-4F73-B0DE-2E366CD0601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2D67E13-5770-4E0A-B69B-6574E5FF544D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EC63-4F73-B0DE-2E366CD0601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EC63-4F73-B0DE-2E366CD0601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A8648B3-8A8C-4A6D-BFEA-54BC4B14575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EC63-4F73-B0DE-2E366CD0601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EC63-4F73-B0DE-2E366CD0601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E46397D-8717-4C3B-B01E-1528D5F3E7A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EC63-4F73-B0DE-2E366CD0601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EC63-4F73-B0DE-2E366CD0601D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D2F3C708-C0FD-462A-868B-0DE24330AD4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EC63-4F73-B0DE-2E366CD0601D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EC63-4F73-B0DE-2E366CD0601D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23400F9-5C9C-4210-8942-1E6DF2F32818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EC63-4F73-B0DE-2E366CD0601D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EC63-4F73-B0DE-2E366CD0601D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DEF5BEA-2C71-4667-9936-2190025B2A9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EC63-4F73-B0DE-2E366CD0601D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EC63-4F73-B0DE-2E366CD0601D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2232400-E98E-4D28-9B98-AB7C1E9569F6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EC63-4F73-B0DE-2E366CD06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datos'!$M$125:$M$169</c:f>
              <c:numCache>
                <c:formatCode>General</c:formatCode>
                <c:ptCount val="45"/>
                <c:pt idx="0">
                  <c:v>0</c:v>
                </c:pt>
                <c:pt idx="2">
                  <c:v>1.1000000000000001</c:v>
                </c:pt>
                <c:pt idx="4">
                  <c:v>1.9</c:v>
                </c:pt>
                <c:pt idx="6">
                  <c:v>2.5</c:v>
                </c:pt>
                <c:pt idx="8">
                  <c:v>3.05</c:v>
                </c:pt>
                <c:pt idx="10">
                  <c:v>3.8</c:v>
                </c:pt>
                <c:pt idx="12">
                  <c:v>4.45</c:v>
                </c:pt>
                <c:pt idx="14">
                  <c:v>4.95</c:v>
                </c:pt>
                <c:pt idx="16">
                  <c:v>5.4</c:v>
                </c:pt>
                <c:pt idx="18">
                  <c:v>5.75</c:v>
                </c:pt>
                <c:pt idx="20">
                  <c:v>6.1</c:v>
                </c:pt>
                <c:pt idx="22">
                  <c:v>6.4</c:v>
                </c:pt>
                <c:pt idx="24">
                  <c:v>7.55</c:v>
                </c:pt>
                <c:pt idx="26">
                  <c:v>8.3000000000000007</c:v>
                </c:pt>
                <c:pt idx="28">
                  <c:v>8.9499999999999993</c:v>
                </c:pt>
                <c:pt idx="30">
                  <c:v>9.4499999999999993</c:v>
                </c:pt>
                <c:pt idx="32">
                  <c:v>10.25</c:v>
                </c:pt>
                <c:pt idx="34">
                  <c:v>10.85</c:v>
                </c:pt>
                <c:pt idx="36">
                  <c:v>11.4</c:v>
                </c:pt>
                <c:pt idx="38">
                  <c:v>11.85</c:v>
                </c:pt>
                <c:pt idx="40">
                  <c:v>12.2</c:v>
                </c:pt>
                <c:pt idx="42">
                  <c:v>12.5</c:v>
                </c:pt>
                <c:pt idx="44">
                  <c:v>12.8</c:v>
                </c:pt>
              </c:numCache>
            </c:numRef>
          </c:xVal>
          <c:yVal>
            <c:numRef>
              <c:f>'base de datos'!$N$125:$N$169</c:f>
              <c:numCache>
                <c:formatCode>General</c:formatCode>
                <c:ptCount val="4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datos'!$L$125:$L$169</c15:f>
                <c15:dlblRangeCache>
                  <c:ptCount val="45"/>
                  <c:pt idx="0">
                    <c:v>0.1</c:v>
                  </c:pt>
                  <c:pt idx="2">
                    <c:v>0.15</c:v>
                  </c:pt>
                  <c:pt idx="4">
                    <c:v>0.2</c:v>
                  </c:pt>
                  <c:pt idx="6">
                    <c:v>0.25</c:v>
                  </c:pt>
                  <c:pt idx="8">
                    <c:v>0.3</c:v>
                  </c:pt>
                  <c:pt idx="10">
                    <c:v>0.4</c:v>
                  </c:pt>
                  <c:pt idx="12">
                    <c:v>0.5</c:v>
                  </c:pt>
                  <c:pt idx="14">
                    <c:v>0.6</c:v>
                  </c:pt>
                  <c:pt idx="16">
                    <c:v>0.7</c:v>
                  </c:pt>
                  <c:pt idx="18">
                    <c:v>0.8</c:v>
                  </c:pt>
                  <c:pt idx="20">
                    <c:v>0.9</c:v>
                  </c:pt>
                  <c:pt idx="22">
                    <c:v>1</c:v>
                  </c:pt>
                  <c:pt idx="24">
                    <c:v>1.5</c:v>
                  </c:pt>
                  <c:pt idx="26">
                    <c:v>2</c:v>
                  </c:pt>
                  <c:pt idx="28">
                    <c:v>2.5</c:v>
                  </c:pt>
                  <c:pt idx="30">
                    <c:v>3</c:v>
                  </c:pt>
                  <c:pt idx="32">
                    <c:v>4</c:v>
                  </c:pt>
                  <c:pt idx="34">
                    <c:v>5</c:v>
                  </c:pt>
                  <c:pt idx="36">
                    <c:v>6</c:v>
                  </c:pt>
                  <c:pt idx="38">
                    <c:v>7</c:v>
                  </c:pt>
                  <c:pt idx="40">
                    <c:v>8</c:v>
                  </c:pt>
                  <c:pt idx="42">
                    <c:v>9</c:v>
                  </c:pt>
                  <c:pt idx="44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D-EC63-4F73-B0DE-2E366CD0601D}"/>
            </c:ext>
          </c:extLst>
        </c:ser>
        <c:ser>
          <c:idx val="4"/>
          <c:order val="4"/>
          <c:tx>
            <c:v>Ds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datos'!$J$171:$J$172</c:f>
              <c:numCache>
                <c:formatCode>General</c:formatCode>
                <c:ptCount val="2"/>
                <c:pt idx="0">
                  <c:v>0</c:v>
                </c:pt>
                <c:pt idx="1">
                  <c:v>12.8</c:v>
                </c:pt>
              </c:numCache>
            </c:numRef>
          </c:xVal>
          <c:yVal>
            <c:numRef>
              <c:f>'base de datos'!$K$171:$K$172</c:f>
              <c:numCache>
                <c:formatCode>General</c:formatCode>
                <c:ptCount val="2"/>
                <c:pt idx="0">
                  <c:v>5.25</c:v>
                </c:pt>
                <c:pt idx="1">
                  <c:v>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E-EC63-4F73-B0DE-2E366CD0601D}"/>
            </c:ext>
          </c:extLst>
        </c:ser>
        <c:ser>
          <c:idx val="5"/>
          <c:order val="5"/>
          <c:tx>
            <c:v>Dρ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EC63-4F73-B0DE-2E366CD0601D}"/>
              </c:ext>
            </c:extLst>
          </c:dPt>
          <c:xVal>
            <c:numRef>
              <c:f>'base de datos'!$M$171:$M$172</c:f>
              <c:numCache>
                <c:formatCode>General</c:formatCode>
                <c:ptCount val="2"/>
                <c:pt idx="0">
                  <c:v>5.75</c:v>
                </c:pt>
                <c:pt idx="1">
                  <c:v>5.75</c:v>
                </c:pt>
              </c:numCache>
            </c:numRef>
          </c:xVal>
          <c:yVal>
            <c:numRef>
              <c:f>'base de datos'!$N$171:$N$172</c:f>
              <c:numCache>
                <c:formatCode>General</c:formatCode>
                <c:ptCount val="2"/>
                <c:pt idx="0">
                  <c:v>0</c:v>
                </c:pt>
                <c:pt idx="1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1-EC63-4F73-B0DE-2E366CD0601D}"/>
            </c:ext>
          </c:extLst>
        </c:ser>
        <c:ser>
          <c:idx val="6"/>
          <c:order val="6"/>
          <c:tx>
            <c:v>Dρ2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datos'!$M$174:$M$175</c:f>
              <c:numCache>
                <c:formatCode>General</c:formatCode>
                <c:ptCount val="2"/>
                <c:pt idx="0">
                  <c:v>7.9250000000000007</c:v>
                </c:pt>
                <c:pt idx="1">
                  <c:v>7.9250000000000007</c:v>
                </c:pt>
              </c:numCache>
            </c:numRef>
          </c:xVal>
          <c:yVal>
            <c:numRef>
              <c:f>'base de datos'!$N$174:$N$175</c:f>
              <c:numCache>
                <c:formatCode>General</c:formatCode>
                <c:ptCount val="2"/>
                <c:pt idx="0">
                  <c:v>0</c:v>
                </c:pt>
                <c:pt idx="1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2-EC63-4F73-B0DE-2E366CD0601D}"/>
            </c:ext>
          </c:extLst>
        </c:ser>
        <c:ser>
          <c:idx val="7"/>
          <c:order val="7"/>
          <c:tx>
            <c:v>Ø0.5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datos'!$R$125:$R$147</c:f>
              <c:numCache>
                <c:formatCode>General</c:formatCode>
                <c:ptCount val="23"/>
                <c:pt idx="0">
                  <c:v>7.93</c:v>
                </c:pt>
                <c:pt idx="1">
                  <c:v>7.58</c:v>
                </c:pt>
                <c:pt idx="2">
                  <c:v>7.28</c:v>
                </c:pt>
                <c:pt idx="3">
                  <c:v>7.03</c:v>
                </c:pt>
                <c:pt idx="4">
                  <c:v>6.78</c:v>
                </c:pt>
                <c:pt idx="5">
                  <c:v>6.42</c:v>
                </c:pt>
                <c:pt idx="6">
                  <c:v>6.06</c:v>
                </c:pt>
                <c:pt idx="7">
                  <c:v>5.8</c:v>
                </c:pt>
                <c:pt idx="8">
                  <c:v>5.54</c:v>
                </c:pt>
                <c:pt idx="9">
                  <c:v>5.33</c:v>
                </c:pt>
                <c:pt idx="10">
                  <c:v>5.15</c:v>
                </c:pt>
                <c:pt idx="11">
                  <c:v>4.9550000000000001</c:v>
                </c:pt>
                <c:pt idx="12">
                  <c:v>4.24</c:v>
                </c:pt>
                <c:pt idx="13">
                  <c:v>3.75</c:v>
                </c:pt>
                <c:pt idx="14">
                  <c:v>3.2949999999999999</c:v>
                </c:pt>
                <c:pt idx="15">
                  <c:v>2.9649999999999999</c:v>
                </c:pt>
                <c:pt idx="16">
                  <c:v>2.42</c:v>
                </c:pt>
                <c:pt idx="17">
                  <c:v>2.0249999999999999</c:v>
                </c:pt>
                <c:pt idx="18">
                  <c:v>1.67</c:v>
                </c:pt>
                <c:pt idx="19">
                  <c:v>1.375</c:v>
                </c:pt>
                <c:pt idx="20">
                  <c:v>1.1399999999999999</c:v>
                </c:pt>
                <c:pt idx="21">
                  <c:v>0.92</c:v>
                </c:pt>
                <c:pt idx="22">
                  <c:v>0.71799999999999997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3-EC63-4F73-B0DE-2E366CD0601D}"/>
            </c:ext>
          </c:extLst>
        </c:ser>
        <c:ser>
          <c:idx val="8"/>
          <c:order val="8"/>
          <c:tx>
            <c:v>Ø0.4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datos'!$T$125:$T$147</c:f>
              <c:numCache>
                <c:formatCode>General</c:formatCode>
                <c:ptCount val="23"/>
                <c:pt idx="0">
                  <c:v>8.0299999999999994</c:v>
                </c:pt>
                <c:pt idx="1">
                  <c:v>7.71</c:v>
                </c:pt>
                <c:pt idx="2">
                  <c:v>7.41</c:v>
                </c:pt>
                <c:pt idx="3">
                  <c:v>7.1800000000000006</c:v>
                </c:pt>
                <c:pt idx="4">
                  <c:v>6.94</c:v>
                </c:pt>
                <c:pt idx="5">
                  <c:v>6.58</c:v>
                </c:pt>
                <c:pt idx="6">
                  <c:v>6.26</c:v>
                </c:pt>
                <c:pt idx="7">
                  <c:v>5.99</c:v>
                </c:pt>
                <c:pt idx="8">
                  <c:v>5.76</c:v>
                </c:pt>
                <c:pt idx="9">
                  <c:v>5.5600000000000005</c:v>
                </c:pt>
                <c:pt idx="10">
                  <c:v>5.3400000000000007</c:v>
                </c:pt>
                <c:pt idx="11">
                  <c:v>5.1550000000000002</c:v>
                </c:pt>
                <c:pt idx="12">
                  <c:v>4.46</c:v>
                </c:pt>
                <c:pt idx="13">
                  <c:v>3.97</c:v>
                </c:pt>
                <c:pt idx="14">
                  <c:v>3.5449999999999999</c:v>
                </c:pt>
                <c:pt idx="15">
                  <c:v>3.1949999999999998</c:v>
                </c:pt>
                <c:pt idx="16">
                  <c:v>2.66</c:v>
                </c:pt>
                <c:pt idx="17">
                  <c:v>2.2749999999999999</c:v>
                </c:pt>
                <c:pt idx="18">
                  <c:v>1.93</c:v>
                </c:pt>
                <c:pt idx="19">
                  <c:v>1.645</c:v>
                </c:pt>
                <c:pt idx="20">
                  <c:v>1.42</c:v>
                </c:pt>
                <c:pt idx="21">
                  <c:v>1.21</c:v>
                </c:pt>
                <c:pt idx="22">
                  <c:v>1.018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4-EC63-4F73-B0DE-2E366CD0601D}"/>
            </c:ext>
          </c:extLst>
        </c:ser>
        <c:ser>
          <c:idx val="9"/>
          <c:order val="9"/>
          <c:tx>
            <c:v>Ø0.3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datos'!$V$125:$V$147</c:f>
              <c:numCache>
                <c:formatCode>General</c:formatCode>
                <c:ptCount val="23"/>
                <c:pt idx="0">
                  <c:v>8.1399999999999988</c:v>
                </c:pt>
                <c:pt idx="1">
                  <c:v>7.85</c:v>
                </c:pt>
                <c:pt idx="2">
                  <c:v>7.5600000000000005</c:v>
                </c:pt>
                <c:pt idx="3">
                  <c:v>7.330000000000001</c:v>
                </c:pt>
                <c:pt idx="4">
                  <c:v>7.1300000000000008</c:v>
                </c:pt>
                <c:pt idx="5">
                  <c:v>6.79</c:v>
                </c:pt>
                <c:pt idx="6">
                  <c:v>6.4799999999999995</c:v>
                </c:pt>
                <c:pt idx="7">
                  <c:v>6.2200000000000006</c:v>
                </c:pt>
                <c:pt idx="8">
                  <c:v>5.97</c:v>
                </c:pt>
                <c:pt idx="9">
                  <c:v>5.7900000000000009</c:v>
                </c:pt>
                <c:pt idx="10">
                  <c:v>5.5900000000000007</c:v>
                </c:pt>
                <c:pt idx="11">
                  <c:v>5.4050000000000002</c:v>
                </c:pt>
                <c:pt idx="12">
                  <c:v>4.72</c:v>
                </c:pt>
                <c:pt idx="13">
                  <c:v>4.2700000000000005</c:v>
                </c:pt>
                <c:pt idx="14">
                  <c:v>3.835</c:v>
                </c:pt>
                <c:pt idx="15">
                  <c:v>3.5049999999999999</c:v>
                </c:pt>
                <c:pt idx="16">
                  <c:v>2.96</c:v>
                </c:pt>
                <c:pt idx="17">
                  <c:v>2.5649999999999999</c:v>
                </c:pt>
                <c:pt idx="18">
                  <c:v>2.21</c:v>
                </c:pt>
                <c:pt idx="19">
                  <c:v>1.915</c:v>
                </c:pt>
                <c:pt idx="20">
                  <c:v>1.68</c:v>
                </c:pt>
                <c:pt idx="21">
                  <c:v>1.46</c:v>
                </c:pt>
                <c:pt idx="22">
                  <c:v>1.258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5-EC63-4F73-B0DE-2E366CD0601D}"/>
            </c:ext>
          </c:extLst>
        </c:ser>
        <c:ser>
          <c:idx val="10"/>
          <c:order val="10"/>
          <c:tx>
            <c:v>Ø0.2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datos'!$X$125:$X$147</c:f>
              <c:numCache>
                <c:formatCode>General</c:formatCode>
                <c:ptCount val="23"/>
                <c:pt idx="0">
                  <c:v>8.2499999999999982</c:v>
                </c:pt>
                <c:pt idx="1">
                  <c:v>7.96</c:v>
                </c:pt>
                <c:pt idx="2">
                  <c:v>7.7100000000000009</c:v>
                </c:pt>
                <c:pt idx="3">
                  <c:v>7.4900000000000011</c:v>
                </c:pt>
                <c:pt idx="4">
                  <c:v>7.2900000000000009</c:v>
                </c:pt>
                <c:pt idx="5">
                  <c:v>6.98</c:v>
                </c:pt>
                <c:pt idx="6">
                  <c:v>6.67</c:v>
                </c:pt>
                <c:pt idx="7">
                  <c:v>6.44</c:v>
                </c:pt>
                <c:pt idx="8">
                  <c:v>6.1899999999999995</c:v>
                </c:pt>
                <c:pt idx="9">
                  <c:v>6.0100000000000007</c:v>
                </c:pt>
                <c:pt idx="10">
                  <c:v>5.8400000000000007</c:v>
                </c:pt>
                <c:pt idx="11">
                  <c:v>5.665</c:v>
                </c:pt>
                <c:pt idx="12">
                  <c:v>4.99</c:v>
                </c:pt>
                <c:pt idx="13">
                  <c:v>4.53</c:v>
                </c:pt>
                <c:pt idx="14">
                  <c:v>4.1150000000000002</c:v>
                </c:pt>
                <c:pt idx="15">
                  <c:v>3.7949999999999999</c:v>
                </c:pt>
                <c:pt idx="16">
                  <c:v>3.26</c:v>
                </c:pt>
                <c:pt idx="17">
                  <c:v>2.8649999999999998</c:v>
                </c:pt>
                <c:pt idx="18">
                  <c:v>2.5</c:v>
                </c:pt>
                <c:pt idx="19">
                  <c:v>2.2149999999999999</c:v>
                </c:pt>
                <c:pt idx="20">
                  <c:v>1.99</c:v>
                </c:pt>
                <c:pt idx="21">
                  <c:v>1.78</c:v>
                </c:pt>
                <c:pt idx="22">
                  <c:v>1.5980000000000001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6-EC63-4F73-B0DE-2E366CD0601D}"/>
            </c:ext>
          </c:extLst>
        </c:ser>
        <c:ser>
          <c:idx val="11"/>
          <c:order val="11"/>
          <c:tx>
            <c:v>Ø0.1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datos'!$Z$125:$Z$147</c:f>
              <c:numCache>
                <c:formatCode>General</c:formatCode>
                <c:ptCount val="23"/>
                <c:pt idx="0">
                  <c:v>8.3199999999999985</c:v>
                </c:pt>
                <c:pt idx="1">
                  <c:v>8.09</c:v>
                </c:pt>
                <c:pt idx="2">
                  <c:v>7.870000000000001</c:v>
                </c:pt>
                <c:pt idx="3">
                  <c:v>7.6800000000000015</c:v>
                </c:pt>
                <c:pt idx="4">
                  <c:v>7.5000000000000009</c:v>
                </c:pt>
                <c:pt idx="5">
                  <c:v>7.2100000000000009</c:v>
                </c:pt>
                <c:pt idx="6">
                  <c:v>6.91</c:v>
                </c:pt>
                <c:pt idx="7">
                  <c:v>6.6800000000000006</c:v>
                </c:pt>
                <c:pt idx="8">
                  <c:v>6.4599999999999991</c:v>
                </c:pt>
                <c:pt idx="9">
                  <c:v>6.2800000000000011</c:v>
                </c:pt>
                <c:pt idx="10">
                  <c:v>6.1000000000000005</c:v>
                </c:pt>
                <c:pt idx="11">
                  <c:v>5.9249999999999998</c:v>
                </c:pt>
                <c:pt idx="12">
                  <c:v>5.28</c:v>
                </c:pt>
                <c:pt idx="13">
                  <c:v>4.84</c:v>
                </c:pt>
                <c:pt idx="14">
                  <c:v>4.4249999999999998</c:v>
                </c:pt>
                <c:pt idx="15">
                  <c:v>4.1150000000000002</c:v>
                </c:pt>
                <c:pt idx="16">
                  <c:v>3.5799999999999996</c:v>
                </c:pt>
                <c:pt idx="17">
                  <c:v>3.1749999999999998</c:v>
                </c:pt>
                <c:pt idx="18">
                  <c:v>2.81</c:v>
                </c:pt>
                <c:pt idx="19">
                  <c:v>2.5149999999999997</c:v>
                </c:pt>
                <c:pt idx="20">
                  <c:v>2.29</c:v>
                </c:pt>
                <c:pt idx="21">
                  <c:v>2.08</c:v>
                </c:pt>
                <c:pt idx="22">
                  <c:v>1.8780000000000001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7-EC63-4F73-B0DE-2E366CD0601D}"/>
            </c:ext>
          </c:extLst>
        </c:ser>
        <c:ser>
          <c:idx val="12"/>
          <c:order val="12"/>
          <c:tx>
            <c:v>s*ρ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datos'!$AB$125:$AB$147</c:f>
              <c:numCache>
                <c:formatCode>General</c:formatCode>
                <c:ptCount val="23"/>
                <c:pt idx="0">
                  <c:v>8.4099999999999984</c:v>
                </c:pt>
                <c:pt idx="1">
                  <c:v>8.2099999999999991</c:v>
                </c:pt>
                <c:pt idx="2">
                  <c:v>8.0000000000000018</c:v>
                </c:pt>
                <c:pt idx="3">
                  <c:v>7.8400000000000016</c:v>
                </c:pt>
                <c:pt idx="4">
                  <c:v>7.6700000000000008</c:v>
                </c:pt>
                <c:pt idx="5">
                  <c:v>7.4200000000000008</c:v>
                </c:pt>
                <c:pt idx="6">
                  <c:v>7.16</c:v>
                </c:pt>
                <c:pt idx="7">
                  <c:v>6.94</c:v>
                </c:pt>
                <c:pt idx="8">
                  <c:v>6.7399999999999993</c:v>
                </c:pt>
                <c:pt idx="9">
                  <c:v>6.580000000000001</c:v>
                </c:pt>
                <c:pt idx="10">
                  <c:v>6.4</c:v>
                </c:pt>
                <c:pt idx="11">
                  <c:v>6.2450000000000001</c:v>
                </c:pt>
                <c:pt idx="12">
                  <c:v>5.61</c:v>
                </c:pt>
                <c:pt idx="13">
                  <c:v>5.18</c:v>
                </c:pt>
                <c:pt idx="14">
                  <c:v>4.7850000000000001</c:v>
                </c:pt>
                <c:pt idx="15">
                  <c:v>4.4649999999999999</c:v>
                </c:pt>
                <c:pt idx="16">
                  <c:v>3.9499999999999997</c:v>
                </c:pt>
                <c:pt idx="17">
                  <c:v>3.5549999999999997</c:v>
                </c:pt>
                <c:pt idx="18">
                  <c:v>3.19</c:v>
                </c:pt>
                <c:pt idx="19">
                  <c:v>2.9149999999999996</c:v>
                </c:pt>
                <c:pt idx="20">
                  <c:v>2.68</c:v>
                </c:pt>
                <c:pt idx="21">
                  <c:v>2.46</c:v>
                </c:pt>
                <c:pt idx="22">
                  <c:v>2.2720000000000002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8-EC63-4F73-B0DE-2E366CD0601D}"/>
            </c:ext>
          </c:extLst>
        </c:ser>
        <c:ser>
          <c:idx val="13"/>
          <c:order val="13"/>
          <c:tx>
            <c:v>cota Ø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81FC9B4-752C-4DDE-954D-F9EDEADBE738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EC63-4F73-B0DE-2E366CD060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D090B42-2087-47CC-B0C9-CC24EDE23B45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EC63-4F73-B0DE-2E366CD0601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3F0C33-A24F-49D2-929D-33A11EA346F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EC63-4F73-B0DE-2E366CD0601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442CA5-4752-46AB-81F4-423AD14C3B3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EC63-4F73-B0DE-2E366CD060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CCC453-E54D-49D2-BB68-E9F6EE042E8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EC63-4F73-B0DE-2E366CD0601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62DC8B1-D49E-448B-AB51-4FE1002B977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EC63-4F73-B0DE-2E366CD06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'base de datos'!$R$149:$R$154</c:f>
              <c:numCache>
                <c:formatCode>General</c:formatCode>
                <c:ptCount val="6"/>
                <c:pt idx="0">
                  <c:v>12.700000000000001</c:v>
                </c:pt>
                <c:pt idx="1">
                  <c:v>12.700000000000001</c:v>
                </c:pt>
                <c:pt idx="2">
                  <c:v>12.700000000000001</c:v>
                </c:pt>
                <c:pt idx="3">
                  <c:v>12.700000000000001</c:v>
                </c:pt>
                <c:pt idx="4">
                  <c:v>12.700000000000001</c:v>
                </c:pt>
                <c:pt idx="5">
                  <c:v>12.700000000000001</c:v>
                </c:pt>
              </c:numCache>
            </c:numRef>
          </c:xVal>
          <c:yVal>
            <c:numRef>
              <c:f>'base de datos'!$S$149:$S$154</c:f>
              <c:numCache>
                <c:formatCode>General</c:formatCode>
                <c:ptCount val="6"/>
                <c:pt idx="0">
                  <c:v>0.71799999999999997</c:v>
                </c:pt>
                <c:pt idx="1">
                  <c:v>1.018</c:v>
                </c:pt>
                <c:pt idx="2">
                  <c:v>1.258</c:v>
                </c:pt>
                <c:pt idx="3">
                  <c:v>1.5980000000000001</c:v>
                </c:pt>
                <c:pt idx="4">
                  <c:v>1.8780000000000001</c:v>
                </c:pt>
                <c:pt idx="5">
                  <c:v>2.2720000000000002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datos'!$Q$149:$Q$154</c15:f>
                <c15:dlblRangeCache>
                  <c:ptCount val="6"/>
                  <c:pt idx="0">
                    <c:v>0.5</c:v>
                  </c:pt>
                  <c:pt idx="1">
                    <c:v>0.4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0.1</c:v>
                  </c:pt>
                  <c:pt idx="5">
                    <c:v>s*ρ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F-EC63-4F73-B0DE-2E366CD0601D}"/>
            </c:ext>
          </c:extLst>
        </c:ser>
        <c:ser>
          <c:idx val="14"/>
          <c:order val="14"/>
          <c:tx>
            <c:v>HM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5E94F5B-CEB9-403B-80BD-37229B1CEC40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C0C-4A38-BBE6-E98227592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datos'!$R$155</c:f>
              <c:numCache>
                <c:formatCode>General</c:formatCode>
                <c:ptCount val="1"/>
                <c:pt idx="0">
                  <c:v>12.7</c:v>
                </c:pt>
              </c:numCache>
            </c:numRef>
          </c:xVal>
          <c:yVal>
            <c:numRef>
              <c:f>'base de datos'!$S$155</c:f>
              <c:numCache>
                <c:formatCode>General</c:formatCode>
                <c:ptCount val="1"/>
                <c:pt idx="0">
                  <c:v>8.65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datos'!$Q$155</c15:f>
                <c15:dlblRangeCache>
                  <c:ptCount val="1"/>
                  <c:pt idx="0">
                    <c:v>hebmerma.com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C0C-4A38-BBE6-E98227592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944448"/>
        <c:axId val="942720416"/>
      </c:scatterChart>
      <c:valAx>
        <c:axId val="940944448"/>
        <c:scaling>
          <c:orientation val="minMax"/>
          <c:min val="-0.30000000000000004"/>
        </c:scaling>
        <c:delete val="1"/>
        <c:axPos val="b"/>
        <c:numFmt formatCode="General" sourceLinked="1"/>
        <c:majorTickMark val="out"/>
        <c:minorTickMark val="none"/>
        <c:tickLblPos val="nextTo"/>
        <c:crossAx val="942720416"/>
        <c:crosses val="autoZero"/>
        <c:crossBetween val="midCat"/>
        <c:minorUnit val="5.000000000000001E-2"/>
      </c:valAx>
      <c:valAx>
        <c:axId val="942720416"/>
        <c:scaling>
          <c:orientation val="minMax"/>
          <c:min val="-0.30000000000000004"/>
        </c:scaling>
        <c:delete val="1"/>
        <c:axPos val="l"/>
        <c:numFmt formatCode="General" sourceLinked="1"/>
        <c:majorTickMark val="out"/>
        <c:minorTickMark val="none"/>
        <c:tickLblPos val="nextTo"/>
        <c:crossAx val="94094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22222222222223E-2"/>
          <c:y val="1.2623275730112377E-2"/>
          <c:w val="0.95111111111111113"/>
          <c:h val="0.93057198348438197"/>
        </c:manualLayout>
      </c:layout>
      <c:scatterChart>
        <c:scatterStyle val="smoothMarker"/>
        <c:varyColors val="0"/>
        <c:ser>
          <c:idx val="0"/>
          <c:order val="0"/>
          <c:tx>
            <c:v>Diagrama Horizontal</c:v>
          </c:tx>
          <c:spPr>
            <a:ln w="127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'base de datos'!$C$125:$C$192</c:f>
              <c:numCache>
                <c:formatCode>General</c:formatCode>
                <c:ptCount val="68"/>
                <c:pt idx="0">
                  <c:v>0</c:v>
                </c:pt>
                <c:pt idx="1">
                  <c:v>12.8</c:v>
                </c:pt>
                <c:pt idx="3">
                  <c:v>0</c:v>
                </c:pt>
                <c:pt idx="4">
                  <c:v>12.8</c:v>
                </c:pt>
                <c:pt idx="6">
                  <c:v>0</c:v>
                </c:pt>
                <c:pt idx="7">
                  <c:v>12.8</c:v>
                </c:pt>
                <c:pt idx="9">
                  <c:v>0</c:v>
                </c:pt>
                <c:pt idx="10">
                  <c:v>12.8</c:v>
                </c:pt>
                <c:pt idx="12">
                  <c:v>0</c:v>
                </c:pt>
                <c:pt idx="13">
                  <c:v>12.8</c:v>
                </c:pt>
                <c:pt idx="15">
                  <c:v>0</c:v>
                </c:pt>
                <c:pt idx="16">
                  <c:v>12.8</c:v>
                </c:pt>
                <c:pt idx="18">
                  <c:v>0</c:v>
                </c:pt>
                <c:pt idx="19">
                  <c:v>12.8</c:v>
                </c:pt>
                <c:pt idx="21">
                  <c:v>0</c:v>
                </c:pt>
                <c:pt idx="22">
                  <c:v>12.8</c:v>
                </c:pt>
                <c:pt idx="24">
                  <c:v>0</c:v>
                </c:pt>
                <c:pt idx="25">
                  <c:v>12.8</c:v>
                </c:pt>
                <c:pt idx="27">
                  <c:v>0</c:v>
                </c:pt>
                <c:pt idx="28">
                  <c:v>12.8</c:v>
                </c:pt>
                <c:pt idx="30">
                  <c:v>0</c:v>
                </c:pt>
                <c:pt idx="31">
                  <c:v>12.8</c:v>
                </c:pt>
                <c:pt idx="33">
                  <c:v>0</c:v>
                </c:pt>
                <c:pt idx="34">
                  <c:v>12.8</c:v>
                </c:pt>
                <c:pt idx="36">
                  <c:v>0</c:v>
                </c:pt>
                <c:pt idx="37">
                  <c:v>12.8</c:v>
                </c:pt>
                <c:pt idx="39">
                  <c:v>0</c:v>
                </c:pt>
                <c:pt idx="40">
                  <c:v>12.8</c:v>
                </c:pt>
                <c:pt idx="42">
                  <c:v>0</c:v>
                </c:pt>
                <c:pt idx="43">
                  <c:v>12.8</c:v>
                </c:pt>
                <c:pt idx="45">
                  <c:v>0</c:v>
                </c:pt>
                <c:pt idx="46">
                  <c:v>12.8</c:v>
                </c:pt>
                <c:pt idx="48">
                  <c:v>0</c:v>
                </c:pt>
                <c:pt idx="49">
                  <c:v>12.8</c:v>
                </c:pt>
                <c:pt idx="51">
                  <c:v>0</c:v>
                </c:pt>
                <c:pt idx="52">
                  <c:v>12.8</c:v>
                </c:pt>
                <c:pt idx="54">
                  <c:v>0</c:v>
                </c:pt>
                <c:pt idx="55">
                  <c:v>12.8</c:v>
                </c:pt>
                <c:pt idx="57">
                  <c:v>0</c:v>
                </c:pt>
                <c:pt idx="58">
                  <c:v>12.8</c:v>
                </c:pt>
                <c:pt idx="60">
                  <c:v>0</c:v>
                </c:pt>
                <c:pt idx="61">
                  <c:v>12.8</c:v>
                </c:pt>
                <c:pt idx="63">
                  <c:v>0</c:v>
                </c:pt>
                <c:pt idx="64">
                  <c:v>12.8</c:v>
                </c:pt>
                <c:pt idx="66">
                  <c:v>0</c:v>
                </c:pt>
                <c:pt idx="67">
                  <c:v>12.8</c:v>
                </c:pt>
              </c:numCache>
            </c:numRef>
          </c:xVal>
          <c:yVal>
            <c:numRef>
              <c:f>'base de datos'!$D$125:$D$192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3">
                  <c:v>0.8</c:v>
                </c:pt>
                <c:pt idx="4">
                  <c:v>0.8</c:v>
                </c:pt>
                <c:pt idx="6">
                  <c:v>1.35</c:v>
                </c:pt>
                <c:pt idx="7">
                  <c:v>1.35</c:v>
                </c:pt>
                <c:pt idx="9">
                  <c:v>1.75</c:v>
                </c:pt>
                <c:pt idx="10">
                  <c:v>1.75</c:v>
                </c:pt>
                <c:pt idx="12">
                  <c:v>2.1</c:v>
                </c:pt>
                <c:pt idx="13">
                  <c:v>2.1</c:v>
                </c:pt>
                <c:pt idx="15">
                  <c:v>2.65</c:v>
                </c:pt>
                <c:pt idx="16">
                  <c:v>2.65</c:v>
                </c:pt>
                <c:pt idx="18">
                  <c:v>3.1</c:v>
                </c:pt>
                <c:pt idx="19">
                  <c:v>3.1</c:v>
                </c:pt>
                <c:pt idx="21">
                  <c:v>3.45</c:v>
                </c:pt>
                <c:pt idx="22">
                  <c:v>3.45</c:v>
                </c:pt>
                <c:pt idx="24">
                  <c:v>3.75</c:v>
                </c:pt>
                <c:pt idx="25">
                  <c:v>3.75</c:v>
                </c:pt>
                <c:pt idx="27">
                  <c:v>4</c:v>
                </c:pt>
                <c:pt idx="28">
                  <c:v>4</c:v>
                </c:pt>
                <c:pt idx="30">
                  <c:v>4.25</c:v>
                </c:pt>
                <c:pt idx="31">
                  <c:v>4.25</c:v>
                </c:pt>
                <c:pt idx="33">
                  <c:v>4.45</c:v>
                </c:pt>
                <c:pt idx="34">
                  <c:v>4.45</c:v>
                </c:pt>
                <c:pt idx="36">
                  <c:v>5.25</c:v>
                </c:pt>
                <c:pt idx="37">
                  <c:v>5.25</c:v>
                </c:pt>
                <c:pt idx="39">
                  <c:v>5.8</c:v>
                </c:pt>
                <c:pt idx="40">
                  <c:v>5.8</c:v>
                </c:pt>
                <c:pt idx="42">
                  <c:v>6.25</c:v>
                </c:pt>
                <c:pt idx="43">
                  <c:v>6.25</c:v>
                </c:pt>
                <c:pt idx="45">
                  <c:v>6.65</c:v>
                </c:pt>
                <c:pt idx="46">
                  <c:v>6.65</c:v>
                </c:pt>
                <c:pt idx="48">
                  <c:v>7.15</c:v>
                </c:pt>
                <c:pt idx="49">
                  <c:v>7.15</c:v>
                </c:pt>
                <c:pt idx="51">
                  <c:v>7.55</c:v>
                </c:pt>
                <c:pt idx="52">
                  <c:v>7.55</c:v>
                </c:pt>
                <c:pt idx="54">
                  <c:v>7.95</c:v>
                </c:pt>
                <c:pt idx="55">
                  <c:v>7.95</c:v>
                </c:pt>
                <c:pt idx="57">
                  <c:v>8.1999999999999993</c:v>
                </c:pt>
                <c:pt idx="58">
                  <c:v>8.1999999999999993</c:v>
                </c:pt>
                <c:pt idx="60">
                  <c:v>8.4499999999999993</c:v>
                </c:pt>
                <c:pt idx="61">
                  <c:v>8.4499999999999993</c:v>
                </c:pt>
                <c:pt idx="63">
                  <c:v>8.65</c:v>
                </c:pt>
                <c:pt idx="64">
                  <c:v>8.65</c:v>
                </c:pt>
                <c:pt idx="66">
                  <c:v>8.9</c:v>
                </c:pt>
                <c:pt idx="67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39-4B13-ABAF-D79995EA1D53}"/>
            </c:ext>
          </c:extLst>
        </c:ser>
        <c:ser>
          <c:idx val="1"/>
          <c:order val="1"/>
          <c:tx>
            <c:v>Diagrama Vertical</c:v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'base de datos'!$F$125:$F$192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1.9</c:v>
                </c:pt>
                <c:pt idx="7">
                  <c:v>1.9</c:v>
                </c:pt>
                <c:pt idx="9">
                  <c:v>2.5</c:v>
                </c:pt>
                <c:pt idx="10">
                  <c:v>2.5</c:v>
                </c:pt>
                <c:pt idx="12">
                  <c:v>3.05</c:v>
                </c:pt>
                <c:pt idx="13">
                  <c:v>3.05</c:v>
                </c:pt>
                <c:pt idx="15">
                  <c:v>3.8</c:v>
                </c:pt>
                <c:pt idx="16">
                  <c:v>3.8</c:v>
                </c:pt>
                <c:pt idx="18">
                  <c:v>4.45</c:v>
                </c:pt>
                <c:pt idx="19">
                  <c:v>4.45</c:v>
                </c:pt>
                <c:pt idx="21">
                  <c:v>4.95</c:v>
                </c:pt>
                <c:pt idx="22">
                  <c:v>4.95</c:v>
                </c:pt>
                <c:pt idx="24">
                  <c:v>5.4</c:v>
                </c:pt>
                <c:pt idx="25">
                  <c:v>5.4</c:v>
                </c:pt>
                <c:pt idx="27">
                  <c:v>5.75</c:v>
                </c:pt>
                <c:pt idx="28">
                  <c:v>5.75</c:v>
                </c:pt>
                <c:pt idx="30">
                  <c:v>6.1</c:v>
                </c:pt>
                <c:pt idx="31">
                  <c:v>6.1</c:v>
                </c:pt>
                <c:pt idx="33">
                  <c:v>6.4</c:v>
                </c:pt>
                <c:pt idx="34">
                  <c:v>6.4</c:v>
                </c:pt>
                <c:pt idx="36">
                  <c:v>7.55</c:v>
                </c:pt>
                <c:pt idx="37">
                  <c:v>7.55</c:v>
                </c:pt>
                <c:pt idx="39">
                  <c:v>8.3000000000000007</c:v>
                </c:pt>
                <c:pt idx="40">
                  <c:v>8.3000000000000007</c:v>
                </c:pt>
                <c:pt idx="42">
                  <c:v>8.9499999999999993</c:v>
                </c:pt>
                <c:pt idx="43">
                  <c:v>8.9499999999999993</c:v>
                </c:pt>
                <c:pt idx="45">
                  <c:v>9.4499999999999993</c:v>
                </c:pt>
                <c:pt idx="46">
                  <c:v>9.4499999999999993</c:v>
                </c:pt>
                <c:pt idx="48">
                  <c:v>10.25</c:v>
                </c:pt>
                <c:pt idx="49">
                  <c:v>10.25</c:v>
                </c:pt>
                <c:pt idx="51">
                  <c:v>10.85</c:v>
                </c:pt>
                <c:pt idx="52">
                  <c:v>10.85</c:v>
                </c:pt>
                <c:pt idx="54">
                  <c:v>11.4</c:v>
                </c:pt>
                <c:pt idx="55">
                  <c:v>11.4</c:v>
                </c:pt>
                <c:pt idx="57">
                  <c:v>11.85</c:v>
                </c:pt>
                <c:pt idx="58">
                  <c:v>11.85</c:v>
                </c:pt>
                <c:pt idx="60">
                  <c:v>12.2</c:v>
                </c:pt>
                <c:pt idx="61">
                  <c:v>12.2</c:v>
                </c:pt>
                <c:pt idx="63">
                  <c:v>12.5</c:v>
                </c:pt>
                <c:pt idx="64">
                  <c:v>12.5</c:v>
                </c:pt>
                <c:pt idx="66">
                  <c:v>12.8</c:v>
                </c:pt>
                <c:pt idx="67">
                  <c:v>12.8</c:v>
                </c:pt>
              </c:numCache>
            </c:numRef>
          </c:xVal>
          <c:yVal>
            <c:numRef>
              <c:f>'base de datos'!$G$125:$G$192</c:f>
              <c:numCache>
                <c:formatCode>General</c:formatCode>
                <c:ptCount val="68"/>
                <c:pt idx="0">
                  <c:v>0</c:v>
                </c:pt>
                <c:pt idx="1">
                  <c:v>8.9</c:v>
                </c:pt>
                <c:pt idx="3">
                  <c:v>0</c:v>
                </c:pt>
                <c:pt idx="4">
                  <c:v>8.9</c:v>
                </c:pt>
                <c:pt idx="6">
                  <c:v>0</c:v>
                </c:pt>
                <c:pt idx="7">
                  <c:v>8.9</c:v>
                </c:pt>
                <c:pt idx="9">
                  <c:v>0</c:v>
                </c:pt>
                <c:pt idx="10">
                  <c:v>8.9</c:v>
                </c:pt>
                <c:pt idx="12">
                  <c:v>0</c:v>
                </c:pt>
                <c:pt idx="13">
                  <c:v>8.9</c:v>
                </c:pt>
                <c:pt idx="15">
                  <c:v>0</c:v>
                </c:pt>
                <c:pt idx="16">
                  <c:v>8.9</c:v>
                </c:pt>
                <c:pt idx="18">
                  <c:v>0</c:v>
                </c:pt>
                <c:pt idx="19">
                  <c:v>8.9</c:v>
                </c:pt>
                <c:pt idx="21">
                  <c:v>0</c:v>
                </c:pt>
                <c:pt idx="22">
                  <c:v>8.9</c:v>
                </c:pt>
                <c:pt idx="24">
                  <c:v>0</c:v>
                </c:pt>
                <c:pt idx="25">
                  <c:v>8.9</c:v>
                </c:pt>
                <c:pt idx="27">
                  <c:v>0</c:v>
                </c:pt>
                <c:pt idx="28">
                  <c:v>8.9</c:v>
                </c:pt>
                <c:pt idx="30">
                  <c:v>0</c:v>
                </c:pt>
                <c:pt idx="31">
                  <c:v>8.9</c:v>
                </c:pt>
                <c:pt idx="33">
                  <c:v>0</c:v>
                </c:pt>
                <c:pt idx="34">
                  <c:v>8.9</c:v>
                </c:pt>
                <c:pt idx="36">
                  <c:v>0</c:v>
                </c:pt>
                <c:pt idx="37">
                  <c:v>8.9</c:v>
                </c:pt>
                <c:pt idx="39">
                  <c:v>0</c:v>
                </c:pt>
                <c:pt idx="40">
                  <c:v>8.9</c:v>
                </c:pt>
                <c:pt idx="42">
                  <c:v>0</c:v>
                </c:pt>
                <c:pt idx="43">
                  <c:v>8.9</c:v>
                </c:pt>
                <c:pt idx="45">
                  <c:v>0</c:v>
                </c:pt>
                <c:pt idx="46">
                  <c:v>8.9</c:v>
                </c:pt>
                <c:pt idx="48">
                  <c:v>0</c:v>
                </c:pt>
                <c:pt idx="49">
                  <c:v>8.9</c:v>
                </c:pt>
                <c:pt idx="51">
                  <c:v>0</c:v>
                </c:pt>
                <c:pt idx="52">
                  <c:v>8.9</c:v>
                </c:pt>
                <c:pt idx="54">
                  <c:v>0</c:v>
                </c:pt>
                <c:pt idx="55">
                  <c:v>8.9</c:v>
                </c:pt>
                <c:pt idx="57">
                  <c:v>0</c:v>
                </c:pt>
                <c:pt idx="58">
                  <c:v>8.9</c:v>
                </c:pt>
                <c:pt idx="60">
                  <c:v>0</c:v>
                </c:pt>
                <c:pt idx="61">
                  <c:v>8.9</c:v>
                </c:pt>
                <c:pt idx="63">
                  <c:v>0</c:v>
                </c:pt>
                <c:pt idx="64">
                  <c:v>8.9</c:v>
                </c:pt>
                <c:pt idx="66">
                  <c:v>0</c:v>
                </c:pt>
                <c:pt idx="67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D5-4A7B-B270-72ABA5527F54}"/>
            </c:ext>
          </c:extLst>
        </c:ser>
        <c:ser>
          <c:idx val="2"/>
          <c:order val="2"/>
          <c:tx>
            <c:v>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89FCC68-2F4A-4F07-AEFE-C4F08C25B500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AD5-4A7B-B270-72ABA5527F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AD5-4A7B-B270-72ABA5527F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B9B1DB-A3CE-498D-A5A5-4C825A7AD6B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AD5-4A7B-B270-72ABA5527F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AD5-4A7B-B270-72ABA5527F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5A36DC4-7E36-49D7-8B3C-2320B4AC9B9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AD5-4A7B-B270-72ABA5527F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AD5-4A7B-B270-72ABA5527F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A07A865-2AC4-41A0-B72E-EB4F36F5CA4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AD5-4A7B-B270-72ABA5527F5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AD5-4A7B-B270-72ABA5527F5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BC321C4-B28E-48D5-8633-F1468A8FC379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AD5-4A7B-B270-72ABA5527F5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AD5-4A7B-B270-72ABA5527F5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C9D7A45-123C-4066-A14E-CE0AAE67E07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AD5-4A7B-B270-72ABA5527F5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AD5-4A7B-B270-72ABA5527F5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7D2E8EC-B766-47CB-A82E-48E26C98284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AD5-4A7B-B270-72ABA5527F5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AD5-4A7B-B270-72ABA5527F5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67CE0EB-58D5-44F5-9EFF-7DE919DB59B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AD5-4A7B-B270-72ABA5527F5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AD5-4A7B-B270-72ABA5527F5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22ADCF6-3713-4793-9C36-1984104F149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AD5-4A7B-B270-72ABA5527F5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AD5-4A7B-B270-72ABA5527F5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40D25FE-675B-40F8-8F46-41DB23EA876D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AD5-4A7B-B270-72ABA5527F5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AD5-4A7B-B270-72ABA5527F5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4180777-B14E-4B96-8FFB-138984CE8C3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AD5-4A7B-B270-72ABA5527F5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AD5-4A7B-B270-72ABA5527F5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0397798-6676-4DA2-89EA-0D7D5605F2E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AD5-4A7B-B270-72ABA5527F5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AD5-4A7B-B270-72ABA5527F5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5A1F254-C095-4629-9DA4-12C845B59AA8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AD5-4A7B-B270-72ABA5527F5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AD5-4A7B-B270-72ABA5527F5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FC95676-8E83-4410-94AD-1DC3432C7776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AD5-4A7B-B270-72ABA5527F5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AD5-4A7B-B270-72ABA5527F5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C7632F7-4541-4C7A-A91A-A135B076539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AD5-4A7B-B270-72ABA5527F5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AD5-4A7B-B270-72ABA5527F5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B54C5F8-BE40-44C4-A05A-A74E25EC2F0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AD5-4A7B-B270-72ABA5527F5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AD5-4A7B-B270-72ABA5527F5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DD001EA-FDCD-4B0F-9524-7B96AD437E78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AD5-4A7B-B270-72ABA5527F5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AD5-4A7B-B270-72ABA5527F5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D61AA9B-C104-4DAC-A6F7-BEFEB42CD6C8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AD5-4A7B-B270-72ABA5527F5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AD5-4A7B-B270-72ABA5527F5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AD3ED07-383A-4A2E-A16F-1E7C5001A2B6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AD5-4A7B-B270-72ABA5527F5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AD5-4A7B-B270-72ABA5527F5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933F138-4C0D-4ADB-8D95-D48A6E9D1D9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AD5-4A7B-B270-72ABA5527F5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AD5-4A7B-B270-72ABA5527F5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8AE25E8-2823-453F-A598-D22C1D0B7B62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AD5-4A7B-B270-72ABA5527F5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AD5-4A7B-B270-72ABA5527F5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096584AF-CDF2-40B3-A846-4B9BF37B9CE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AD5-4A7B-B270-72ABA5527F5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AD5-4A7B-B270-72ABA5527F5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8CF0F98-43A1-4693-BC49-0A577B853ECD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AD5-4A7B-B270-72ABA5527F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datos'!$J$125:$J$169</c:f>
              <c:numCache>
                <c:formatCode>General</c:formatCode>
                <c:ptCount val="4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</c:numCache>
            </c:numRef>
          </c:xVal>
          <c:yVal>
            <c:numRef>
              <c:f>'base de datos'!$K$125:$K$169</c:f>
              <c:numCache>
                <c:formatCode>General</c:formatCode>
                <c:ptCount val="45"/>
                <c:pt idx="0">
                  <c:v>0</c:v>
                </c:pt>
                <c:pt idx="2">
                  <c:v>0.8</c:v>
                </c:pt>
                <c:pt idx="4">
                  <c:v>1.35</c:v>
                </c:pt>
                <c:pt idx="6">
                  <c:v>1.75</c:v>
                </c:pt>
                <c:pt idx="8">
                  <c:v>2.1</c:v>
                </c:pt>
                <c:pt idx="10">
                  <c:v>2.65</c:v>
                </c:pt>
                <c:pt idx="12">
                  <c:v>3.1</c:v>
                </c:pt>
                <c:pt idx="14">
                  <c:v>3.45</c:v>
                </c:pt>
                <c:pt idx="16">
                  <c:v>3.75</c:v>
                </c:pt>
                <c:pt idx="18">
                  <c:v>4</c:v>
                </c:pt>
                <c:pt idx="20">
                  <c:v>4.25</c:v>
                </c:pt>
                <c:pt idx="22">
                  <c:v>4.45</c:v>
                </c:pt>
                <c:pt idx="24">
                  <c:v>5.25</c:v>
                </c:pt>
                <c:pt idx="26">
                  <c:v>5.8</c:v>
                </c:pt>
                <c:pt idx="28">
                  <c:v>6.25</c:v>
                </c:pt>
                <c:pt idx="30">
                  <c:v>6.65</c:v>
                </c:pt>
                <c:pt idx="32">
                  <c:v>7.15</c:v>
                </c:pt>
                <c:pt idx="34">
                  <c:v>7.55</c:v>
                </c:pt>
                <c:pt idx="36">
                  <c:v>7.95</c:v>
                </c:pt>
                <c:pt idx="38">
                  <c:v>8.1999999999999993</c:v>
                </c:pt>
                <c:pt idx="40">
                  <c:v>8.4499999999999993</c:v>
                </c:pt>
                <c:pt idx="42">
                  <c:v>8.65</c:v>
                </c:pt>
                <c:pt idx="44">
                  <c:v>8.9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datos'!$I$125:$I$169</c15:f>
                <c15:dlblRangeCache>
                  <c:ptCount val="45"/>
                  <c:pt idx="0">
                    <c:v>0.01</c:v>
                  </c:pt>
                  <c:pt idx="2">
                    <c:v>0.015</c:v>
                  </c:pt>
                  <c:pt idx="4">
                    <c:v>0.02</c:v>
                  </c:pt>
                  <c:pt idx="6">
                    <c:v>0.025</c:v>
                  </c:pt>
                  <c:pt idx="8">
                    <c:v>0.03</c:v>
                  </c:pt>
                  <c:pt idx="10">
                    <c:v>0.04</c:v>
                  </c:pt>
                  <c:pt idx="12">
                    <c:v>0.05</c:v>
                  </c:pt>
                  <c:pt idx="14">
                    <c:v>0.06</c:v>
                  </c:pt>
                  <c:pt idx="16">
                    <c:v>0.07</c:v>
                  </c:pt>
                  <c:pt idx="18">
                    <c:v>0.08</c:v>
                  </c:pt>
                  <c:pt idx="20">
                    <c:v>0.09</c:v>
                  </c:pt>
                  <c:pt idx="22">
                    <c:v>0.1</c:v>
                  </c:pt>
                  <c:pt idx="24">
                    <c:v>0.15</c:v>
                  </c:pt>
                  <c:pt idx="26">
                    <c:v>0.2</c:v>
                  </c:pt>
                  <c:pt idx="28">
                    <c:v>0.25</c:v>
                  </c:pt>
                  <c:pt idx="30">
                    <c:v>0.3</c:v>
                  </c:pt>
                  <c:pt idx="32">
                    <c:v>0.4</c:v>
                  </c:pt>
                  <c:pt idx="34">
                    <c:v>0.5</c:v>
                  </c:pt>
                  <c:pt idx="36">
                    <c:v>0.6</c:v>
                  </c:pt>
                  <c:pt idx="38">
                    <c:v>0.7</c:v>
                  </c:pt>
                  <c:pt idx="40">
                    <c:v>0.8</c:v>
                  </c:pt>
                  <c:pt idx="42">
                    <c:v>0.9</c:v>
                  </c:pt>
                  <c:pt idx="44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5AD5-4A7B-B270-72ABA5527F54}"/>
            </c:ext>
          </c:extLst>
        </c:ser>
        <c:ser>
          <c:idx val="3"/>
          <c:order val="3"/>
          <c:tx>
            <c:v>ρ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DBE40C7-B33F-4637-B803-7D10D511A17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5AD5-4A7B-B270-72ABA5527F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AD5-4A7B-B270-72ABA5527F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B6C5918-1695-4BF9-A12E-BD21DAE6BCC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AD5-4A7B-B270-72ABA5527F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AD5-4A7B-B270-72ABA5527F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12DEC7-F2AA-4D17-93E2-A5708DD4CCD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AD5-4A7B-B270-72ABA5527F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AD5-4A7B-B270-72ABA5527F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D35BF46-DE53-44F7-9C31-240F8AABB89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AD5-4A7B-B270-72ABA5527F5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5AD5-4A7B-B270-72ABA5527F5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0A66E54-0E95-4701-82AE-2EB48F3D1E8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AD5-4A7B-B270-72ABA5527F5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AD5-4A7B-B270-72ABA5527F5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049EEF9-9F0B-468D-9BA4-3A637ABD31D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AD5-4A7B-B270-72ABA5527F5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AD5-4A7B-B270-72ABA5527F5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85C4A8A-D074-4995-99B2-1A57254E0C16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AD5-4A7B-B270-72ABA5527F5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AD5-4A7B-B270-72ABA5527F5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7D96699-B8FC-4FF1-AE5D-15B2F41477B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AD5-4A7B-B270-72ABA5527F5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AD5-4A7B-B270-72ABA5527F5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952847C-6642-4188-AA84-4A017496B1EA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AD5-4A7B-B270-72ABA5527F5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5AD5-4A7B-B270-72ABA5527F5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8FBF332-7C73-4C3B-8BCD-7B021154BF9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5AD5-4A7B-B270-72ABA5527F5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5AD5-4A7B-B270-72ABA5527F5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67AA257-6BA4-4972-AD55-4E7024F3FD7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5AD5-4A7B-B270-72ABA5527F5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5AD5-4A7B-B270-72ABA5527F5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6B47DB3-996C-483A-BD3B-A6620C2B4B1E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5AD5-4A7B-B270-72ABA5527F5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5AD5-4A7B-B270-72ABA5527F5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70616F1-CA03-49B1-96E7-8B8FD746DCFD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5AD5-4A7B-B270-72ABA5527F5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5AD5-4A7B-B270-72ABA5527F5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F618015-5FD9-44FF-9566-6CFD198A33C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5AD5-4A7B-B270-72ABA5527F5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5AD5-4A7B-B270-72ABA5527F5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68352EA-ABAF-4EDE-A382-39B1B758CCD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5AD5-4A7B-B270-72ABA5527F5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5AD5-4A7B-B270-72ABA5527F5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40774A9-28C3-4928-B4EC-0EAC5B67F107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5AD5-4A7B-B270-72ABA5527F5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5AD5-4A7B-B270-72ABA5527F5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E84DF3B-36EE-42D6-BC3E-0C54A9F07E59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5AD5-4A7B-B270-72ABA5527F5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5AD5-4A7B-B270-72ABA5527F5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95A3818-8D3A-4FEC-BD21-423541005F84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5AD5-4A7B-B270-72ABA5527F5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5AD5-4A7B-B270-72ABA5527F5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FA10225-51BC-4933-BAF8-44654896029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5AD5-4A7B-B270-72ABA5527F5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5AD5-4A7B-B270-72ABA5527F5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F8A5EAB-B578-45FE-A022-E5B028520BF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5AD5-4A7B-B270-72ABA5527F5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5AD5-4A7B-B270-72ABA5527F5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D424146C-7B94-4EC2-A492-10344F88F908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5AD5-4A7B-B270-72ABA5527F5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5AD5-4A7B-B270-72ABA5527F5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BDBD8F1-8631-4EAB-AF69-EFAFEEC3B61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5AD5-4A7B-B270-72ABA5527F5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5AD5-4A7B-B270-72ABA5527F5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7F0B4EAD-6EAE-4846-86F6-64AB1AA70FC1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5AD5-4A7B-B270-72ABA5527F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datos'!$M$125:$M$169</c:f>
              <c:numCache>
                <c:formatCode>General</c:formatCode>
                <c:ptCount val="45"/>
                <c:pt idx="0">
                  <c:v>0</c:v>
                </c:pt>
                <c:pt idx="2">
                  <c:v>1.1000000000000001</c:v>
                </c:pt>
                <c:pt idx="4">
                  <c:v>1.9</c:v>
                </c:pt>
                <c:pt idx="6">
                  <c:v>2.5</c:v>
                </c:pt>
                <c:pt idx="8">
                  <c:v>3.05</c:v>
                </c:pt>
                <c:pt idx="10">
                  <c:v>3.8</c:v>
                </c:pt>
                <c:pt idx="12">
                  <c:v>4.45</c:v>
                </c:pt>
                <c:pt idx="14">
                  <c:v>4.95</c:v>
                </c:pt>
                <c:pt idx="16">
                  <c:v>5.4</c:v>
                </c:pt>
                <c:pt idx="18">
                  <c:v>5.75</c:v>
                </c:pt>
                <c:pt idx="20">
                  <c:v>6.1</c:v>
                </c:pt>
                <c:pt idx="22">
                  <c:v>6.4</c:v>
                </c:pt>
                <c:pt idx="24">
                  <c:v>7.55</c:v>
                </c:pt>
                <c:pt idx="26">
                  <c:v>8.3000000000000007</c:v>
                </c:pt>
                <c:pt idx="28">
                  <c:v>8.9499999999999993</c:v>
                </c:pt>
                <c:pt idx="30">
                  <c:v>9.4499999999999993</c:v>
                </c:pt>
                <c:pt idx="32">
                  <c:v>10.25</c:v>
                </c:pt>
                <c:pt idx="34">
                  <c:v>10.85</c:v>
                </c:pt>
                <c:pt idx="36">
                  <c:v>11.4</c:v>
                </c:pt>
                <c:pt idx="38">
                  <c:v>11.85</c:v>
                </c:pt>
                <c:pt idx="40">
                  <c:v>12.2</c:v>
                </c:pt>
                <c:pt idx="42">
                  <c:v>12.5</c:v>
                </c:pt>
                <c:pt idx="44">
                  <c:v>12.8</c:v>
                </c:pt>
              </c:numCache>
            </c:numRef>
          </c:xVal>
          <c:yVal>
            <c:numRef>
              <c:f>'base de datos'!$N$125:$N$169</c:f>
              <c:numCache>
                <c:formatCode>General</c:formatCode>
                <c:ptCount val="4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datos'!$L$125:$L$169</c15:f>
                <c15:dlblRangeCache>
                  <c:ptCount val="45"/>
                  <c:pt idx="0">
                    <c:v>0.1</c:v>
                  </c:pt>
                  <c:pt idx="2">
                    <c:v>0.15</c:v>
                  </c:pt>
                  <c:pt idx="4">
                    <c:v>0.2</c:v>
                  </c:pt>
                  <c:pt idx="6">
                    <c:v>0.25</c:v>
                  </c:pt>
                  <c:pt idx="8">
                    <c:v>0.3</c:v>
                  </c:pt>
                  <c:pt idx="10">
                    <c:v>0.4</c:v>
                  </c:pt>
                  <c:pt idx="12">
                    <c:v>0.5</c:v>
                  </c:pt>
                  <c:pt idx="14">
                    <c:v>0.6</c:v>
                  </c:pt>
                  <c:pt idx="16">
                    <c:v>0.7</c:v>
                  </c:pt>
                  <c:pt idx="18">
                    <c:v>0.8</c:v>
                  </c:pt>
                  <c:pt idx="20">
                    <c:v>0.9</c:v>
                  </c:pt>
                  <c:pt idx="22">
                    <c:v>1</c:v>
                  </c:pt>
                  <c:pt idx="24">
                    <c:v>1.5</c:v>
                  </c:pt>
                  <c:pt idx="26">
                    <c:v>2</c:v>
                  </c:pt>
                  <c:pt idx="28">
                    <c:v>2.5</c:v>
                  </c:pt>
                  <c:pt idx="30">
                    <c:v>3</c:v>
                  </c:pt>
                  <c:pt idx="32">
                    <c:v>4</c:v>
                  </c:pt>
                  <c:pt idx="34">
                    <c:v>5</c:v>
                  </c:pt>
                  <c:pt idx="36">
                    <c:v>6</c:v>
                  </c:pt>
                  <c:pt idx="38">
                    <c:v>7</c:v>
                  </c:pt>
                  <c:pt idx="40">
                    <c:v>8</c:v>
                  </c:pt>
                  <c:pt idx="42">
                    <c:v>9</c:v>
                  </c:pt>
                  <c:pt idx="44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1-5AD5-4A7B-B270-72ABA5527F54}"/>
            </c:ext>
          </c:extLst>
        </c:ser>
        <c:ser>
          <c:idx val="4"/>
          <c:order val="4"/>
          <c:tx>
            <c:v>Ds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datos'!$J$171:$J$172</c:f>
              <c:numCache>
                <c:formatCode>General</c:formatCode>
                <c:ptCount val="2"/>
                <c:pt idx="0">
                  <c:v>0</c:v>
                </c:pt>
                <c:pt idx="1">
                  <c:v>12.8</c:v>
                </c:pt>
              </c:numCache>
            </c:numRef>
          </c:xVal>
          <c:yVal>
            <c:numRef>
              <c:f>'base de datos'!$K$171:$K$172</c:f>
              <c:numCache>
                <c:formatCode>General</c:formatCode>
                <c:ptCount val="2"/>
                <c:pt idx="0">
                  <c:v>5.25</c:v>
                </c:pt>
                <c:pt idx="1">
                  <c:v>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5AD5-4A7B-B270-72ABA5527F54}"/>
            </c:ext>
          </c:extLst>
        </c:ser>
        <c:ser>
          <c:idx val="5"/>
          <c:order val="5"/>
          <c:tx>
            <c:v>Dρ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1270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94-4D8D-98D3-DDF578D38F09}"/>
              </c:ext>
            </c:extLst>
          </c:dPt>
          <c:xVal>
            <c:numRef>
              <c:f>'base de datos'!$M$171:$M$172</c:f>
              <c:numCache>
                <c:formatCode>General</c:formatCode>
                <c:ptCount val="2"/>
                <c:pt idx="0">
                  <c:v>5.75</c:v>
                </c:pt>
                <c:pt idx="1">
                  <c:v>5.75</c:v>
                </c:pt>
              </c:numCache>
            </c:numRef>
          </c:xVal>
          <c:yVal>
            <c:numRef>
              <c:f>'base de datos'!$N$171:$N$172</c:f>
              <c:numCache>
                <c:formatCode>General</c:formatCode>
                <c:ptCount val="2"/>
                <c:pt idx="0">
                  <c:v>0</c:v>
                </c:pt>
                <c:pt idx="1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94-4D8D-98D3-DDF578D38F09}"/>
            </c:ext>
          </c:extLst>
        </c:ser>
        <c:ser>
          <c:idx val="6"/>
          <c:order val="6"/>
          <c:tx>
            <c:v>Dρ2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datos'!$M$174:$M$175</c:f>
              <c:numCache>
                <c:formatCode>General</c:formatCode>
                <c:ptCount val="2"/>
                <c:pt idx="0">
                  <c:v>7.9250000000000007</c:v>
                </c:pt>
                <c:pt idx="1">
                  <c:v>7.9250000000000007</c:v>
                </c:pt>
              </c:numCache>
            </c:numRef>
          </c:xVal>
          <c:yVal>
            <c:numRef>
              <c:f>'base de datos'!$N$174:$N$175</c:f>
              <c:numCache>
                <c:formatCode>General</c:formatCode>
                <c:ptCount val="2"/>
                <c:pt idx="0">
                  <c:v>0</c:v>
                </c:pt>
                <c:pt idx="1">
                  <c:v>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94-4D8D-98D3-DDF578D38F09}"/>
            </c:ext>
          </c:extLst>
        </c:ser>
        <c:ser>
          <c:idx val="7"/>
          <c:order val="7"/>
          <c:tx>
            <c:v>Ø0.5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datos'!$R$125:$R$147</c:f>
              <c:numCache>
                <c:formatCode>General</c:formatCode>
                <c:ptCount val="23"/>
                <c:pt idx="0">
                  <c:v>7.93</c:v>
                </c:pt>
                <c:pt idx="1">
                  <c:v>7.58</c:v>
                </c:pt>
                <c:pt idx="2">
                  <c:v>7.28</c:v>
                </c:pt>
                <c:pt idx="3">
                  <c:v>7.03</c:v>
                </c:pt>
                <c:pt idx="4">
                  <c:v>6.78</c:v>
                </c:pt>
                <c:pt idx="5">
                  <c:v>6.42</c:v>
                </c:pt>
                <c:pt idx="6">
                  <c:v>6.06</c:v>
                </c:pt>
                <c:pt idx="7">
                  <c:v>5.8</c:v>
                </c:pt>
                <c:pt idx="8">
                  <c:v>5.54</c:v>
                </c:pt>
                <c:pt idx="9">
                  <c:v>5.33</c:v>
                </c:pt>
                <c:pt idx="10">
                  <c:v>5.15</c:v>
                </c:pt>
                <c:pt idx="11">
                  <c:v>4.9550000000000001</c:v>
                </c:pt>
                <c:pt idx="12">
                  <c:v>4.24</c:v>
                </c:pt>
                <c:pt idx="13">
                  <c:v>3.75</c:v>
                </c:pt>
                <c:pt idx="14">
                  <c:v>3.2949999999999999</c:v>
                </c:pt>
                <c:pt idx="15">
                  <c:v>2.9649999999999999</c:v>
                </c:pt>
                <c:pt idx="16">
                  <c:v>2.42</c:v>
                </c:pt>
                <c:pt idx="17">
                  <c:v>2.0249999999999999</c:v>
                </c:pt>
                <c:pt idx="18">
                  <c:v>1.67</c:v>
                </c:pt>
                <c:pt idx="19">
                  <c:v>1.375</c:v>
                </c:pt>
                <c:pt idx="20">
                  <c:v>1.1399999999999999</c:v>
                </c:pt>
                <c:pt idx="21">
                  <c:v>0.92</c:v>
                </c:pt>
                <c:pt idx="22">
                  <c:v>0.71799999999999997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A2-4BFC-8A00-6D399D0C22AA}"/>
            </c:ext>
          </c:extLst>
        </c:ser>
        <c:ser>
          <c:idx val="8"/>
          <c:order val="8"/>
          <c:tx>
            <c:v>Ø0.4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datos'!$T$125:$T$147</c:f>
              <c:numCache>
                <c:formatCode>General</c:formatCode>
                <c:ptCount val="23"/>
                <c:pt idx="0">
                  <c:v>8.0299999999999994</c:v>
                </c:pt>
                <c:pt idx="1">
                  <c:v>7.71</c:v>
                </c:pt>
                <c:pt idx="2">
                  <c:v>7.41</c:v>
                </c:pt>
                <c:pt idx="3">
                  <c:v>7.1800000000000006</c:v>
                </c:pt>
                <c:pt idx="4">
                  <c:v>6.94</c:v>
                </c:pt>
                <c:pt idx="5">
                  <c:v>6.58</c:v>
                </c:pt>
                <c:pt idx="6">
                  <c:v>6.26</c:v>
                </c:pt>
                <c:pt idx="7">
                  <c:v>5.99</c:v>
                </c:pt>
                <c:pt idx="8">
                  <c:v>5.76</c:v>
                </c:pt>
                <c:pt idx="9">
                  <c:v>5.5600000000000005</c:v>
                </c:pt>
                <c:pt idx="10">
                  <c:v>5.3400000000000007</c:v>
                </c:pt>
                <c:pt idx="11">
                  <c:v>5.1550000000000002</c:v>
                </c:pt>
                <c:pt idx="12">
                  <c:v>4.46</c:v>
                </c:pt>
                <c:pt idx="13">
                  <c:v>3.97</c:v>
                </c:pt>
                <c:pt idx="14">
                  <c:v>3.5449999999999999</c:v>
                </c:pt>
                <c:pt idx="15">
                  <c:v>3.1949999999999998</c:v>
                </c:pt>
                <c:pt idx="16">
                  <c:v>2.66</c:v>
                </c:pt>
                <c:pt idx="17">
                  <c:v>2.2749999999999999</c:v>
                </c:pt>
                <c:pt idx="18">
                  <c:v>1.93</c:v>
                </c:pt>
                <c:pt idx="19">
                  <c:v>1.645</c:v>
                </c:pt>
                <c:pt idx="20">
                  <c:v>1.42</c:v>
                </c:pt>
                <c:pt idx="21">
                  <c:v>1.21</c:v>
                </c:pt>
                <c:pt idx="22">
                  <c:v>1.018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A2-4BFC-8A00-6D399D0C22AA}"/>
            </c:ext>
          </c:extLst>
        </c:ser>
        <c:ser>
          <c:idx val="9"/>
          <c:order val="9"/>
          <c:tx>
            <c:v>Ø0.3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datos'!$V$125:$V$147</c:f>
              <c:numCache>
                <c:formatCode>General</c:formatCode>
                <c:ptCount val="23"/>
                <c:pt idx="0">
                  <c:v>8.1399999999999988</c:v>
                </c:pt>
                <c:pt idx="1">
                  <c:v>7.85</c:v>
                </c:pt>
                <c:pt idx="2">
                  <c:v>7.5600000000000005</c:v>
                </c:pt>
                <c:pt idx="3">
                  <c:v>7.330000000000001</c:v>
                </c:pt>
                <c:pt idx="4">
                  <c:v>7.1300000000000008</c:v>
                </c:pt>
                <c:pt idx="5">
                  <c:v>6.79</c:v>
                </c:pt>
                <c:pt idx="6">
                  <c:v>6.4799999999999995</c:v>
                </c:pt>
                <c:pt idx="7">
                  <c:v>6.2200000000000006</c:v>
                </c:pt>
                <c:pt idx="8">
                  <c:v>5.97</c:v>
                </c:pt>
                <c:pt idx="9">
                  <c:v>5.7900000000000009</c:v>
                </c:pt>
                <c:pt idx="10">
                  <c:v>5.5900000000000007</c:v>
                </c:pt>
                <c:pt idx="11">
                  <c:v>5.4050000000000002</c:v>
                </c:pt>
                <c:pt idx="12">
                  <c:v>4.72</c:v>
                </c:pt>
                <c:pt idx="13">
                  <c:v>4.2700000000000005</c:v>
                </c:pt>
                <c:pt idx="14">
                  <c:v>3.835</c:v>
                </c:pt>
                <c:pt idx="15">
                  <c:v>3.5049999999999999</c:v>
                </c:pt>
                <c:pt idx="16">
                  <c:v>2.96</c:v>
                </c:pt>
                <c:pt idx="17">
                  <c:v>2.5649999999999999</c:v>
                </c:pt>
                <c:pt idx="18">
                  <c:v>2.21</c:v>
                </c:pt>
                <c:pt idx="19">
                  <c:v>1.915</c:v>
                </c:pt>
                <c:pt idx="20">
                  <c:v>1.68</c:v>
                </c:pt>
                <c:pt idx="21">
                  <c:v>1.46</c:v>
                </c:pt>
                <c:pt idx="22">
                  <c:v>1.258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6A2-4BFC-8A00-6D399D0C22AA}"/>
            </c:ext>
          </c:extLst>
        </c:ser>
        <c:ser>
          <c:idx val="10"/>
          <c:order val="10"/>
          <c:tx>
            <c:v>Ø0.2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datos'!$X$125:$X$147</c:f>
              <c:numCache>
                <c:formatCode>General</c:formatCode>
                <c:ptCount val="23"/>
                <c:pt idx="0">
                  <c:v>8.2499999999999982</c:v>
                </c:pt>
                <c:pt idx="1">
                  <c:v>7.96</c:v>
                </c:pt>
                <c:pt idx="2">
                  <c:v>7.7100000000000009</c:v>
                </c:pt>
                <c:pt idx="3">
                  <c:v>7.4900000000000011</c:v>
                </c:pt>
                <c:pt idx="4">
                  <c:v>7.2900000000000009</c:v>
                </c:pt>
                <c:pt idx="5">
                  <c:v>6.98</c:v>
                </c:pt>
                <c:pt idx="6">
                  <c:v>6.67</c:v>
                </c:pt>
                <c:pt idx="7">
                  <c:v>6.44</c:v>
                </c:pt>
                <c:pt idx="8">
                  <c:v>6.1899999999999995</c:v>
                </c:pt>
                <c:pt idx="9">
                  <c:v>6.0100000000000007</c:v>
                </c:pt>
                <c:pt idx="10">
                  <c:v>5.8400000000000007</c:v>
                </c:pt>
                <c:pt idx="11">
                  <c:v>5.665</c:v>
                </c:pt>
                <c:pt idx="12">
                  <c:v>4.99</c:v>
                </c:pt>
                <c:pt idx="13">
                  <c:v>4.53</c:v>
                </c:pt>
                <c:pt idx="14">
                  <c:v>4.1150000000000002</c:v>
                </c:pt>
                <c:pt idx="15">
                  <c:v>3.7949999999999999</c:v>
                </c:pt>
                <c:pt idx="16">
                  <c:v>3.26</c:v>
                </c:pt>
                <c:pt idx="17">
                  <c:v>2.8649999999999998</c:v>
                </c:pt>
                <c:pt idx="18">
                  <c:v>2.5</c:v>
                </c:pt>
                <c:pt idx="19">
                  <c:v>2.2149999999999999</c:v>
                </c:pt>
                <c:pt idx="20">
                  <c:v>1.99</c:v>
                </c:pt>
                <c:pt idx="21">
                  <c:v>1.78</c:v>
                </c:pt>
                <c:pt idx="22">
                  <c:v>1.5980000000000001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6A2-4BFC-8A00-6D399D0C22AA}"/>
            </c:ext>
          </c:extLst>
        </c:ser>
        <c:ser>
          <c:idx val="11"/>
          <c:order val="11"/>
          <c:tx>
            <c:v>Ø0.1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datos'!$Z$125:$Z$147</c:f>
              <c:numCache>
                <c:formatCode>General</c:formatCode>
                <c:ptCount val="23"/>
                <c:pt idx="0">
                  <c:v>8.3199999999999985</c:v>
                </c:pt>
                <c:pt idx="1">
                  <c:v>8.09</c:v>
                </c:pt>
                <c:pt idx="2">
                  <c:v>7.870000000000001</c:v>
                </c:pt>
                <c:pt idx="3">
                  <c:v>7.6800000000000015</c:v>
                </c:pt>
                <c:pt idx="4">
                  <c:v>7.5000000000000009</c:v>
                </c:pt>
                <c:pt idx="5">
                  <c:v>7.2100000000000009</c:v>
                </c:pt>
                <c:pt idx="6">
                  <c:v>6.91</c:v>
                </c:pt>
                <c:pt idx="7">
                  <c:v>6.6800000000000006</c:v>
                </c:pt>
                <c:pt idx="8">
                  <c:v>6.4599999999999991</c:v>
                </c:pt>
                <c:pt idx="9">
                  <c:v>6.2800000000000011</c:v>
                </c:pt>
                <c:pt idx="10">
                  <c:v>6.1000000000000005</c:v>
                </c:pt>
                <c:pt idx="11">
                  <c:v>5.9249999999999998</c:v>
                </c:pt>
                <c:pt idx="12">
                  <c:v>5.28</c:v>
                </c:pt>
                <c:pt idx="13">
                  <c:v>4.84</c:v>
                </c:pt>
                <c:pt idx="14">
                  <c:v>4.4249999999999998</c:v>
                </c:pt>
                <c:pt idx="15">
                  <c:v>4.1150000000000002</c:v>
                </c:pt>
                <c:pt idx="16">
                  <c:v>3.5799999999999996</c:v>
                </c:pt>
                <c:pt idx="17">
                  <c:v>3.1749999999999998</c:v>
                </c:pt>
                <c:pt idx="18">
                  <c:v>2.81</c:v>
                </c:pt>
                <c:pt idx="19">
                  <c:v>2.5149999999999997</c:v>
                </c:pt>
                <c:pt idx="20">
                  <c:v>2.29</c:v>
                </c:pt>
                <c:pt idx="21">
                  <c:v>2.08</c:v>
                </c:pt>
                <c:pt idx="22">
                  <c:v>1.8780000000000001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6A2-4BFC-8A00-6D399D0C22AA}"/>
            </c:ext>
          </c:extLst>
        </c:ser>
        <c:ser>
          <c:idx val="12"/>
          <c:order val="12"/>
          <c:tx>
            <c:v>s*ρ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datos'!$Q$125:$Q$147</c:f>
              <c:numCache>
                <c:formatCode>General</c:formatCode>
                <c:ptCount val="23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2.5</c:v>
                </c:pt>
                <c:pt idx="4">
                  <c:v>3.05</c:v>
                </c:pt>
                <c:pt idx="5">
                  <c:v>3.8</c:v>
                </c:pt>
                <c:pt idx="6">
                  <c:v>4.45</c:v>
                </c:pt>
                <c:pt idx="7">
                  <c:v>4.95</c:v>
                </c:pt>
                <c:pt idx="8">
                  <c:v>5.4</c:v>
                </c:pt>
                <c:pt idx="9">
                  <c:v>5.75</c:v>
                </c:pt>
                <c:pt idx="10">
                  <c:v>6.1</c:v>
                </c:pt>
                <c:pt idx="11">
                  <c:v>6.4</c:v>
                </c:pt>
                <c:pt idx="12">
                  <c:v>7.55</c:v>
                </c:pt>
                <c:pt idx="13">
                  <c:v>8.3000000000000007</c:v>
                </c:pt>
                <c:pt idx="14">
                  <c:v>8.9499999999999993</c:v>
                </c:pt>
                <c:pt idx="15">
                  <c:v>9.4499999999999993</c:v>
                </c:pt>
                <c:pt idx="16">
                  <c:v>10.25</c:v>
                </c:pt>
                <c:pt idx="17">
                  <c:v>10.85</c:v>
                </c:pt>
                <c:pt idx="18">
                  <c:v>11.4</c:v>
                </c:pt>
                <c:pt idx="19">
                  <c:v>11.85</c:v>
                </c:pt>
                <c:pt idx="20">
                  <c:v>12.2</c:v>
                </c:pt>
                <c:pt idx="21">
                  <c:v>12.5</c:v>
                </c:pt>
                <c:pt idx="22">
                  <c:v>12.8</c:v>
                </c:pt>
              </c:numCache>
            </c:numRef>
          </c:xVal>
          <c:yVal>
            <c:numRef>
              <c:f>'base de datos'!$AB$125:$AB$147</c:f>
              <c:numCache>
                <c:formatCode>General</c:formatCode>
                <c:ptCount val="23"/>
                <c:pt idx="0">
                  <c:v>8.4099999999999984</c:v>
                </c:pt>
                <c:pt idx="1">
                  <c:v>8.2099999999999991</c:v>
                </c:pt>
                <c:pt idx="2">
                  <c:v>8.0000000000000018</c:v>
                </c:pt>
                <c:pt idx="3">
                  <c:v>7.8400000000000016</c:v>
                </c:pt>
                <c:pt idx="4">
                  <c:v>7.6700000000000008</c:v>
                </c:pt>
                <c:pt idx="5">
                  <c:v>7.4200000000000008</c:v>
                </c:pt>
                <c:pt idx="6">
                  <c:v>7.16</c:v>
                </c:pt>
                <c:pt idx="7">
                  <c:v>6.94</c:v>
                </c:pt>
                <c:pt idx="8">
                  <c:v>6.7399999999999993</c:v>
                </c:pt>
                <c:pt idx="9">
                  <c:v>6.580000000000001</c:v>
                </c:pt>
                <c:pt idx="10">
                  <c:v>6.4</c:v>
                </c:pt>
                <c:pt idx="11">
                  <c:v>6.2450000000000001</c:v>
                </c:pt>
                <c:pt idx="12">
                  <c:v>5.61</c:v>
                </c:pt>
                <c:pt idx="13">
                  <c:v>5.18</c:v>
                </c:pt>
                <c:pt idx="14">
                  <c:v>4.7850000000000001</c:v>
                </c:pt>
                <c:pt idx="15">
                  <c:v>4.4649999999999999</c:v>
                </c:pt>
                <c:pt idx="16">
                  <c:v>3.9499999999999997</c:v>
                </c:pt>
                <c:pt idx="17">
                  <c:v>3.5549999999999997</c:v>
                </c:pt>
                <c:pt idx="18">
                  <c:v>3.19</c:v>
                </c:pt>
                <c:pt idx="19">
                  <c:v>2.9149999999999996</c:v>
                </c:pt>
                <c:pt idx="20">
                  <c:v>2.68</c:v>
                </c:pt>
                <c:pt idx="21">
                  <c:v>2.46</c:v>
                </c:pt>
                <c:pt idx="22">
                  <c:v>2.2720000000000002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6A2-4BFC-8A00-6D399D0C22AA}"/>
            </c:ext>
          </c:extLst>
        </c:ser>
        <c:ser>
          <c:idx val="13"/>
          <c:order val="13"/>
          <c:tx>
            <c:v>cota Ø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FFA8320-AE4D-4D26-BFF5-5338519D2BE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F21-4D0D-9060-9099598055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285B6B-1DA8-4FB1-9E21-E271F8ECFCC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21-4D0D-9060-9099598055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07D817-34D8-4015-A7AE-73E6668B84B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21-4D0D-9060-9099598055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4DEBBF-E878-40DD-8E78-C40CE16C47C3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21-4D0D-9060-9099598055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DA4354-9A01-44D5-8B27-30F0A0BF18FB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21-4D0D-9060-9099598055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24A918-5640-4F34-AD64-2AE22F010E6C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21-4D0D-9060-909959805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datos'!$R$149:$R$154</c:f>
              <c:numCache>
                <c:formatCode>General</c:formatCode>
                <c:ptCount val="6"/>
                <c:pt idx="0">
                  <c:v>12.700000000000001</c:v>
                </c:pt>
                <c:pt idx="1">
                  <c:v>12.700000000000001</c:v>
                </c:pt>
                <c:pt idx="2">
                  <c:v>12.700000000000001</c:v>
                </c:pt>
                <c:pt idx="3">
                  <c:v>12.700000000000001</c:v>
                </c:pt>
                <c:pt idx="4">
                  <c:v>12.700000000000001</c:v>
                </c:pt>
                <c:pt idx="5">
                  <c:v>12.700000000000001</c:v>
                </c:pt>
              </c:numCache>
            </c:numRef>
          </c:xVal>
          <c:yVal>
            <c:numRef>
              <c:f>'base de datos'!$S$149:$S$154</c:f>
              <c:numCache>
                <c:formatCode>General</c:formatCode>
                <c:ptCount val="6"/>
                <c:pt idx="0">
                  <c:v>0.71799999999999997</c:v>
                </c:pt>
                <c:pt idx="1">
                  <c:v>1.018</c:v>
                </c:pt>
                <c:pt idx="2">
                  <c:v>1.258</c:v>
                </c:pt>
                <c:pt idx="3">
                  <c:v>1.5980000000000001</c:v>
                </c:pt>
                <c:pt idx="4">
                  <c:v>1.8780000000000001</c:v>
                </c:pt>
                <c:pt idx="5">
                  <c:v>2.2720000000000002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'base de datos'!$Q$149:$Q$154</c15:f>
                <c15:dlblRangeCache>
                  <c:ptCount val="6"/>
                  <c:pt idx="0">
                    <c:v>0.5</c:v>
                  </c:pt>
                  <c:pt idx="1">
                    <c:v>0.4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0.1</c:v>
                  </c:pt>
                  <c:pt idx="5">
                    <c:v>s*ρ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F21-4D0D-9060-90995980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944448"/>
        <c:axId val="942720416"/>
      </c:scatterChart>
      <c:valAx>
        <c:axId val="940944448"/>
        <c:scaling>
          <c:orientation val="minMax"/>
          <c:min val="-0.30000000000000004"/>
        </c:scaling>
        <c:delete val="1"/>
        <c:axPos val="b"/>
        <c:numFmt formatCode="General" sourceLinked="1"/>
        <c:majorTickMark val="out"/>
        <c:minorTickMark val="none"/>
        <c:tickLblPos val="nextTo"/>
        <c:crossAx val="942720416"/>
        <c:crosses val="autoZero"/>
        <c:crossBetween val="midCat"/>
        <c:minorUnit val="5.000000000000001E-2"/>
      </c:valAx>
      <c:valAx>
        <c:axId val="942720416"/>
        <c:scaling>
          <c:orientation val="minMax"/>
          <c:min val="-0.30000000000000004"/>
        </c:scaling>
        <c:delete val="1"/>
        <c:axPos val="l"/>
        <c:numFmt formatCode="General" sourceLinked="1"/>
        <c:majorTickMark val="out"/>
        <c:minorTickMark val="none"/>
        <c:tickLblPos val="nextTo"/>
        <c:crossAx val="94094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Estructura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datos'!$B$5:$B$57</c:f>
              <c:numCache>
                <c:formatCode>General</c:formatCode>
                <c:ptCount val="53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0.65</c:v>
                </c:pt>
                <c:pt idx="9">
                  <c:v>0.65</c:v>
                </c:pt>
                <c:pt idx="10">
                  <c:v>0.65</c:v>
                </c:pt>
                <c:pt idx="12">
                  <c:v>0</c:v>
                </c:pt>
                <c:pt idx="13">
                  <c:v>0</c:v>
                </c:pt>
                <c:pt idx="15">
                  <c:v>0.65</c:v>
                </c:pt>
                <c:pt idx="16">
                  <c:v>3.5</c:v>
                </c:pt>
                <c:pt idx="18">
                  <c:v>3.5</c:v>
                </c:pt>
                <c:pt idx="19">
                  <c:v>0.65</c:v>
                </c:pt>
                <c:pt idx="21">
                  <c:v>0.65</c:v>
                </c:pt>
                <c:pt idx="22">
                  <c:v>0.65</c:v>
                </c:pt>
                <c:pt idx="24">
                  <c:v>-0.1</c:v>
                </c:pt>
                <c:pt idx="25">
                  <c:v>0.2</c:v>
                </c:pt>
                <c:pt idx="27">
                  <c:v>0.2</c:v>
                </c:pt>
                <c:pt idx="28">
                  <c:v>0.2</c:v>
                </c:pt>
                <c:pt idx="30">
                  <c:v>0.2</c:v>
                </c:pt>
                <c:pt idx="31">
                  <c:v>0.30000000000000004</c:v>
                </c:pt>
                <c:pt idx="33">
                  <c:v>0.30000000000000004</c:v>
                </c:pt>
                <c:pt idx="34">
                  <c:v>0.30000000000000004</c:v>
                </c:pt>
                <c:pt idx="36">
                  <c:v>0.30000000000000004</c:v>
                </c:pt>
                <c:pt idx="37">
                  <c:v>0.75</c:v>
                </c:pt>
                <c:pt idx="39">
                  <c:v>3.5</c:v>
                </c:pt>
                <c:pt idx="40">
                  <c:v>3.5</c:v>
                </c:pt>
                <c:pt idx="42">
                  <c:v>3.5</c:v>
                </c:pt>
                <c:pt idx="43">
                  <c:v>3.35</c:v>
                </c:pt>
                <c:pt idx="45">
                  <c:v>3.35</c:v>
                </c:pt>
                <c:pt idx="46">
                  <c:v>3.65</c:v>
                </c:pt>
                <c:pt idx="48">
                  <c:v>3.65</c:v>
                </c:pt>
                <c:pt idx="49">
                  <c:v>3.5</c:v>
                </c:pt>
                <c:pt idx="51">
                  <c:v>3.5</c:v>
                </c:pt>
                <c:pt idx="52">
                  <c:v>3.5</c:v>
                </c:pt>
              </c:numCache>
            </c:numRef>
          </c:xVal>
          <c:yVal>
            <c:numRef>
              <c:f>'base de datos'!$C$5:$C$57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4.25</c:v>
                </c:pt>
                <c:pt idx="12">
                  <c:v>0</c:v>
                </c:pt>
                <c:pt idx="13">
                  <c:v>5.5</c:v>
                </c:pt>
                <c:pt idx="15">
                  <c:v>4.25</c:v>
                </c:pt>
                <c:pt idx="16">
                  <c:v>4.25</c:v>
                </c:pt>
                <c:pt idx="18">
                  <c:v>4.75</c:v>
                </c:pt>
                <c:pt idx="19">
                  <c:v>4.75</c:v>
                </c:pt>
                <c:pt idx="21">
                  <c:v>4.75</c:v>
                </c:pt>
                <c:pt idx="22">
                  <c:v>5.5</c:v>
                </c:pt>
                <c:pt idx="24">
                  <c:v>5.5</c:v>
                </c:pt>
                <c:pt idx="25">
                  <c:v>5.5</c:v>
                </c:pt>
                <c:pt idx="27">
                  <c:v>5.5</c:v>
                </c:pt>
                <c:pt idx="28">
                  <c:v>5.65</c:v>
                </c:pt>
                <c:pt idx="30">
                  <c:v>5.65</c:v>
                </c:pt>
                <c:pt idx="31">
                  <c:v>5.35</c:v>
                </c:pt>
                <c:pt idx="33">
                  <c:v>5.35</c:v>
                </c:pt>
                <c:pt idx="34">
                  <c:v>5.5</c:v>
                </c:pt>
                <c:pt idx="36">
                  <c:v>5.5</c:v>
                </c:pt>
                <c:pt idx="37">
                  <c:v>5.5</c:v>
                </c:pt>
                <c:pt idx="39">
                  <c:v>4.1500000000000004</c:v>
                </c:pt>
                <c:pt idx="40">
                  <c:v>4.45</c:v>
                </c:pt>
                <c:pt idx="42">
                  <c:v>4.45</c:v>
                </c:pt>
                <c:pt idx="43">
                  <c:v>4.45</c:v>
                </c:pt>
                <c:pt idx="45">
                  <c:v>4.45</c:v>
                </c:pt>
                <c:pt idx="46">
                  <c:v>4.55</c:v>
                </c:pt>
                <c:pt idx="48">
                  <c:v>4.55</c:v>
                </c:pt>
                <c:pt idx="49">
                  <c:v>4.55</c:v>
                </c:pt>
                <c:pt idx="51">
                  <c:v>4.55</c:v>
                </c:pt>
                <c:pt idx="52">
                  <c:v>4.8499999999999996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53-46CA-97E8-5A738B81E27A}"/>
            </c:ext>
          </c:extLst>
        </c:ser>
        <c:ser>
          <c:idx val="1"/>
          <c:order val="1"/>
          <c:tx>
            <c:v>eje viga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'base de datos'!$E$5:$E$6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'base de datos'!$F$5:$F$6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53-46CA-97E8-5A738B81E27A}"/>
            </c:ext>
          </c:extLst>
        </c:ser>
        <c:ser>
          <c:idx val="2"/>
          <c:order val="2"/>
          <c:tx>
            <c:v>Long. h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datos'!$E$8:$E$15</c:f>
              <c:numCache>
                <c:formatCode>General</c:formatCode>
                <c:ptCount val="8"/>
                <c:pt idx="0">
                  <c:v>-0.1</c:v>
                </c:pt>
                <c:pt idx="1">
                  <c:v>-0.4</c:v>
                </c:pt>
                <c:pt idx="3">
                  <c:v>-0.25</c:v>
                </c:pt>
                <c:pt idx="4">
                  <c:v>-0.25</c:v>
                </c:pt>
                <c:pt idx="6">
                  <c:v>-0.1</c:v>
                </c:pt>
                <c:pt idx="7">
                  <c:v>-0.4</c:v>
                </c:pt>
              </c:numCache>
            </c:numRef>
          </c:xVal>
          <c:yVal>
            <c:numRef>
              <c:f>'base de datos'!$F$8:$F$15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53-46CA-97E8-5A738B81E27A}"/>
            </c:ext>
          </c:extLst>
        </c:ser>
        <c:ser>
          <c:idx val="3"/>
          <c:order val="3"/>
          <c:tx>
            <c:v>cota h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385615715561328"/>
                  <c:y val="0"/>
                </c:manualLayout>
              </c:layout>
              <c:tx>
                <c:rich>
                  <a:bodyPr/>
                  <a:lstStyle/>
                  <a:p>
                    <a:fld id="{DC87D2A6-7B70-47C8-AC63-3218C8861BCC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C53-46CA-97E8-5A738B81E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r"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datos'!$E$17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xVal>
          <c:yVal>
            <c:numRef>
              <c:f>'base de datos'!$F$17</c:f>
              <c:numCache>
                <c:formatCode>General</c:formatCode>
                <c:ptCount val="1"/>
                <c:pt idx="0">
                  <c:v>2.25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datos'!$D$17</c15:f>
                <c15:dlblRangeCache>
                  <c:ptCount val="1"/>
                  <c:pt idx="0">
                    <c:v>4.50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C53-46CA-97E8-5A738B81E27A}"/>
            </c:ext>
          </c:extLst>
        </c:ser>
        <c:ser>
          <c:idx val="4"/>
          <c:order val="4"/>
          <c:tx>
            <c:v>h s/c</c:v>
          </c:tx>
          <c:spPr>
            <a:ln w="44450" cap="sq" cmpd="thickThin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datos'!$E$19:$E$20</c:f>
              <c:numCache>
                <c:formatCode>General</c:formatCode>
                <c:ptCount val="2"/>
                <c:pt idx="0">
                  <c:v>0.70000000000000007</c:v>
                </c:pt>
                <c:pt idx="1">
                  <c:v>3.45</c:v>
                </c:pt>
              </c:numCache>
            </c:numRef>
          </c:xVal>
          <c:yVal>
            <c:numRef>
              <c:f>'base de datos'!$F$19:$F$20</c:f>
              <c:numCache>
                <c:formatCode>General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C53-46CA-97E8-5A738B81E27A}"/>
            </c:ext>
          </c:extLst>
        </c:ser>
        <c:ser>
          <c:idx val="5"/>
          <c:order val="5"/>
          <c:tx>
            <c:v>PS</c:v>
          </c:tx>
          <c:spPr>
            <a:ln w="19050" cap="rnd">
              <a:solidFill>
                <a:srgbClr val="0070C0"/>
              </a:solidFill>
              <a:round/>
              <a:headEnd type="arrow"/>
            </a:ln>
            <a:effectLst/>
          </c:spPr>
          <c:marker>
            <c:symbol val="none"/>
          </c:marker>
          <c:xVal>
            <c:numRef>
              <c:f>'base de datos'!$E$24:$E$25</c:f>
              <c:numCache>
                <c:formatCode>General</c:formatCode>
                <c:ptCount val="2"/>
                <c:pt idx="0">
                  <c:v>0.32500000000000001</c:v>
                </c:pt>
                <c:pt idx="1">
                  <c:v>0.32500000000000001</c:v>
                </c:pt>
              </c:numCache>
            </c:numRef>
          </c:xVal>
          <c:yVal>
            <c:numRef>
              <c:f>'base de datos'!$F$24:$F$25</c:f>
              <c:numCache>
                <c:formatCode>General</c:formatCode>
                <c:ptCount val="2"/>
                <c:pt idx="0">
                  <c:v>0.6</c:v>
                </c:pt>
                <c:pt idx="1">
                  <c:v>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C53-46CA-97E8-5A738B81E27A}"/>
            </c:ext>
          </c:extLst>
        </c:ser>
        <c:ser>
          <c:idx val="6"/>
          <c:order val="6"/>
          <c:tx>
            <c:v>cota s/c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8541320694752977"/>
                  <c:y val="-2.97455285285102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D54893A-34C9-4249-B198-0B2248404534}" type="CELLRANGE">
                      <a:rPr lang="en-US"/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385050513764472"/>
                      <c:h val="5.598256334711239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C53-46CA-97E8-5A738B81E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datos'!$E$22</c:f>
              <c:numCache>
                <c:formatCode>General</c:formatCode>
                <c:ptCount val="1"/>
                <c:pt idx="0">
                  <c:v>2.0249999999999999</c:v>
                </c:pt>
              </c:numCache>
            </c:numRef>
          </c:xVal>
          <c:yVal>
            <c:numRef>
              <c:f>'base de datos'!$F$22</c:f>
              <c:numCache>
                <c:formatCode>General</c:formatCode>
                <c:ptCount val="1"/>
                <c:pt idx="0">
                  <c:v>1.2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datos'!$D$22</c15:f>
                <c15:dlblRangeCache>
                  <c:ptCount val="1"/>
                  <c:pt idx="0">
                    <c:v>s/c = 400 kg/m²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5C53-46CA-97E8-5A738B81E27A}"/>
            </c:ext>
          </c:extLst>
        </c:ser>
        <c:ser>
          <c:idx val="7"/>
          <c:order val="7"/>
          <c:tx>
            <c:v>cota PS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6563542112165914E-2"/>
                  <c:y val="-2.80173902376625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0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46F3E9-D284-41AB-9A8A-C396B23C1B02}" type="CELLRANGE">
                      <a:rPr lang="en-US"/>
                      <a:pPr algn="l">
                        <a:defRPr sz="1000" b="1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33346083682712"/>
                      <c:h val="5.954382674743652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C53-46CA-97E8-5A738B81E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datos'!$E$25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datos'!$F$25</c:f>
              <c:numCache>
                <c:formatCode>General</c:formatCode>
                <c:ptCount val="1"/>
                <c:pt idx="0">
                  <c:v>2.75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datos'!$D$25</c15:f>
                <c15:dlblRangeCache>
                  <c:ptCount val="1"/>
                  <c:pt idx="0">
                    <c:v>PS = 79.37 tn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C53-46CA-97E8-5A738B81E27A}"/>
            </c:ext>
          </c:extLst>
        </c:ser>
        <c:ser>
          <c:idx val="8"/>
          <c:order val="8"/>
          <c:tx>
            <c:v>B Za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</c:numCache>
            </c:numRef>
          </c:xVal>
          <c:yVal>
            <c:numRef>
              <c:f>'base de datos'!$F$27:$F$34</c:f>
              <c:numCache>
                <c:formatCode>General</c:formatCode>
                <c:ptCount val="8"/>
                <c:pt idx="0">
                  <c:v>-0.1</c:v>
                </c:pt>
                <c:pt idx="1">
                  <c:v>-0.30000000000000004</c:v>
                </c:pt>
                <c:pt idx="3">
                  <c:v>-0.25</c:v>
                </c:pt>
                <c:pt idx="4">
                  <c:v>-0.25</c:v>
                </c:pt>
                <c:pt idx="6">
                  <c:v>-0.1</c:v>
                </c:pt>
                <c:pt idx="7">
                  <c:v>-0.30000000000000004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C53-46CA-97E8-5A738B81E27A}"/>
            </c:ext>
          </c:extLst>
        </c:ser>
        <c:ser>
          <c:idx val="9"/>
          <c:order val="9"/>
          <c:tx>
            <c:v>cota B Za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624045911023993"/>
                  <c:y val="3.1938647913442107E-2"/>
                </c:manualLayout>
              </c:layout>
              <c:tx>
                <c:rich>
                  <a:bodyPr/>
                  <a:lstStyle/>
                  <a:p>
                    <a:fld id="{DA0A436A-9FFB-4E0E-8459-2FD1695397A4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C53-46CA-97E8-5A738B81E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datos'!$E$36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datos'!$F$36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datos'!$D$36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5C53-46CA-97E8-5A738B81E27A}"/>
            </c:ext>
          </c:extLst>
        </c:ser>
        <c:ser>
          <c:idx val="10"/>
          <c:order val="10"/>
          <c:tx>
            <c:v>hz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datos'!$E$38:$E$45</c:f>
              <c:numCache>
                <c:formatCode>General</c:formatCode>
                <c:ptCount val="8"/>
                <c:pt idx="0">
                  <c:v>1.2000000000000002</c:v>
                </c:pt>
                <c:pt idx="1">
                  <c:v>1.4000000000000001</c:v>
                </c:pt>
                <c:pt idx="3">
                  <c:v>1.33</c:v>
                </c:pt>
                <c:pt idx="4">
                  <c:v>1.33</c:v>
                </c:pt>
                <c:pt idx="6">
                  <c:v>1.2000000000000002</c:v>
                </c:pt>
                <c:pt idx="7">
                  <c:v>1.4000000000000001</c:v>
                </c:pt>
              </c:numCache>
            </c:numRef>
          </c:xVal>
          <c:yVal>
            <c:numRef>
              <c:f>'base de datos'!$F$38:$F$45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93-4761-9B6E-135E0D286509}"/>
            </c:ext>
          </c:extLst>
        </c:ser>
        <c:ser>
          <c:idx val="11"/>
          <c:order val="11"/>
          <c:tx>
            <c:v>cota hz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503882277923257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D612D7-8D85-4872-BD99-714A9791F3E2}" type="CELLRANGE">
                      <a:rPr lang="en-US" sz="1000">
                        <a:solidFill>
                          <a:schemeClr val="tx1"/>
                        </a:solidFill>
                      </a:rPr>
                      <a:pPr algn="l">
                        <a:defRPr sz="1000"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93-4761-9B6E-135E0D286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datos'!$E$47</c:f>
              <c:numCache>
                <c:formatCode>General</c:formatCode>
                <c:ptCount val="1"/>
                <c:pt idx="0">
                  <c:v>1.33</c:v>
                </c:pt>
              </c:numCache>
            </c:numRef>
          </c:xVal>
          <c:yVal>
            <c:numRef>
              <c:f>'base de datos'!$F$47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datos'!$D$47</c15:f>
                <c15:dlblRangeCache>
                  <c:ptCount val="1"/>
                  <c:pt idx="0">
                    <c:v>0.60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B793-4761-9B6E-135E0D286509}"/>
            </c:ext>
          </c:extLst>
        </c:ser>
        <c:ser>
          <c:idx val="12"/>
          <c:order val="12"/>
          <c:tx>
            <c:v>Df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datos'!$E$49:$E$56</c:f>
              <c:numCache>
                <c:formatCode>General</c:formatCode>
                <c:ptCount val="8"/>
                <c:pt idx="0">
                  <c:v>3.6</c:v>
                </c:pt>
                <c:pt idx="1">
                  <c:v>3.8000000000000003</c:v>
                </c:pt>
                <c:pt idx="3">
                  <c:v>3.7300000000000004</c:v>
                </c:pt>
                <c:pt idx="4">
                  <c:v>3.7300000000000004</c:v>
                </c:pt>
                <c:pt idx="6">
                  <c:v>3.6</c:v>
                </c:pt>
                <c:pt idx="7">
                  <c:v>3.8000000000000003</c:v>
                </c:pt>
              </c:numCache>
            </c:numRef>
          </c:xVal>
          <c:yVal>
            <c:numRef>
              <c:f>'base de datos'!$F$49:$F$56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1.2</c:v>
                </c:pt>
                <c:pt idx="6">
                  <c:v>1.2</c:v>
                </c:pt>
                <c:pt idx="7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93-4761-9B6E-135E0D286509}"/>
            </c:ext>
          </c:extLst>
        </c:ser>
        <c:ser>
          <c:idx val="13"/>
          <c:order val="13"/>
          <c:tx>
            <c:v>cota Df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503882277923164E-2"/>
                  <c:y val="-1.2865341345514914E-16"/>
                </c:manualLayout>
              </c:layout>
              <c:tx>
                <c:rich>
                  <a:bodyPr/>
                  <a:lstStyle/>
                  <a:p>
                    <a:fld id="{46147B03-47FF-401E-A7AB-E4F4E8444DA3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93-4761-9B6E-135E0D286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datos'!$E$58</c:f>
              <c:numCache>
                <c:formatCode>General</c:formatCode>
                <c:ptCount val="1"/>
                <c:pt idx="0">
                  <c:v>3.7300000000000004</c:v>
                </c:pt>
              </c:numCache>
            </c:numRef>
          </c:xVal>
          <c:yVal>
            <c:numRef>
              <c:f>'base de datos'!$F$58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datos'!$D$58</c15:f>
                <c15:dlblRangeCache>
                  <c:ptCount val="1"/>
                  <c:pt idx="0">
                    <c:v>Df= 1.20m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B793-4761-9B6E-135E0D286509}"/>
            </c:ext>
          </c:extLst>
        </c:ser>
        <c:ser>
          <c:idx val="14"/>
          <c:order val="14"/>
          <c:tx>
            <c:v>Lc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datos'!$E$60:$E$67</c:f>
              <c:numCache>
                <c:formatCode>General</c:formatCode>
                <c:ptCount val="8"/>
                <c:pt idx="0">
                  <c:v>4.0999999999999996</c:v>
                </c:pt>
                <c:pt idx="1">
                  <c:v>4.3</c:v>
                </c:pt>
                <c:pt idx="3">
                  <c:v>4.2299999999999995</c:v>
                </c:pt>
                <c:pt idx="4">
                  <c:v>4.2299999999999995</c:v>
                </c:pt>
                <c:pt idx="6">
                  <c:v>3.7499999999999996</c:v>
                </c:pt>
                <c:pt idx="7">
                  <c:v>4.3</c:v>
                </c:pt>
              </c:numCache>
            </c:numRef>
          </c:xVal>
          <c:yVal>
            <c:numRef>
              <c:f>'base de datos'!$F$60:$F$67</c:f>
              <c:numCache>
                <c:formatCode>General</c:formatCode>
                <c:ptCount val="8"/>
                <c:pt idx="0">
                  <c:v>0.6</c:v>
                </c:pt>
                <c:pt idx="1">
                  <c:v>0.6</c:v>
                </c:pt>
                <c:pt idx="3">
                  <c:v>0.6</c:v>
                </c:pt>
                <c:pt idx="4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93-4761-9B6E-135E0D286509}"/>
            </c:ext>
          </c:extLst>
        </c:ser>
        <c:ser>
          <c:idx val="15"/>
          <c:order val="15"/>
          <c:tx>
            <c:v>cota Lc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335921518615442E-2"/>
                  <c:y val="0"/>
                </c:manualLayout>
              </c:layout>
              <c:tx>
                <c:rich>
                  <a:bodyPr/>
                  <a:lstStyle/>
                  <a:p>
                    <a:fld id="{7EDAD1B0-A034-459B-B8A8-CEBD979A9B3F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93-4761-9B6E-135E0D286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datos'!$E$69</c:f>
              <c:numCache>
                <c:formatCode>General</c:formatCode>
                <c:ptCount val="1"/>
                <c:pt idx="0">
                  <c:v>4.2299999999999995</c:v>
                </c:pt>
              </c:numCache>
            </c:numRef>
          </c:xVal>
          <c:yVal>
            <c:numRef>
              <c:f>'base de datos'!$F$69</c:f>
              <c:numCache>
                <c:formatCode>General</c:formatCode>
                <c:ptCount val="1"/>
                <c:pt idx="0">
                  <c:v>2.5499999999999998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datos'!$D$69</c15:f>
                <c15:dlblRangeCache>
                  <c:ptCount val="1"/>
                  <c:pt idx="0">
                    <c:v>Lc= 3.90m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B793-4761-9B6E-135E0D286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21583"/>
        <c:axId val="826654527"/>
      </c:scatterChart>
      <c:valAx>
        <c:axId val="8280215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6654527"/>
        <c:crosses val="autoZero"/>
        <c:crossBetween val="midCat"/>
      </c:valAx>
      <c:valAx>
        <c:axId val="8266545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280215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65277777777779E-2"/>
          <c:y val="2.5203333333333335E-2"/>
          <c:w val="0.93312527777777776"/>
          <c:h val="0.93901000000000001"/>
        </c:manualLayout>
      </c:layout>
      <c:scatterChart>
        <c:scatterStyle val="lineMarker"/>
        <c:varyColors val="0"/>
        <c:ser>
          <c:idx val="0"/>
          <c:order val="0"/>
          <c:tx>
            <c:v>Excentricidad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datos'!$H$5:$H$33</c:f>
              <c:numCache>
                <c:formatCode>General</c:formatCode>
                <c:ptCount val="29"/>
                <c:pt idx="0">
                  <c:v>0</c:v>
                </c:pt>
                <c:pt idx="1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0.65</c:v>
                </c:pt>
                <c:pt idx="9">
                  <c:v>0.65</c:v>
                </c:pt>
                <c:pt idx="10">
                  <c:v>0.65</c:v>
                </c:pt>
                <c:pt idx="12">
                  <c:v>0.75</c:v>
                </c:pt>
                <c:pt idx="13">
                  <c:v>0.375</c:v>
                </c:pt>
                <c:pt idx="15">
                  <c:v>0.375</c:v>
                </c:pt>
                <c:pt idx="16">
                  <c:v>0.375</c:v>
                </c:pt>
                <c:pt idx="18">
                  <c:v>0.375</c:v>
                </c:pt>
                <c:pt idx="19">
                  <c:v>0.27500000000000002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4">
                  <c:v>0.27500000000000002</c:v>
                </c:pt>
                <c:pt idx="25">
                  <c:v>-0.1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'base de datos'!$I$5:$I$33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9">
                  <c:v>0.6</c:v>
                </c:pt>
                <c:pt idx="10">
                  <c:v>1.2999999999999998</c:v>
                </c:pt>
                <c:pt idx="12">
                  <c:v>1.2999999999999998</c:v>
                </c:pt>
                <c:pt idx="13">
                  <c:v>1.2999999999999998</c:v>
                </c:pt>
                <c:pt idx="15">
                  <c:v>1.2999999999999998</c:v>
                </c:pt>
                <c:pt idx="16">
                  <c:v>1.1499999999999999</c:v>
                </c:pt>
                <c:pt idx="18">
                  <c:v>1.1499999999999999</c:v>
                </c:pt>
                <c:pt idx="19">
                  <c:v>1.4499999999999997</c:v>
                </c:pt>
                <c:pt idx="21">
                  <c:v>1.4499999999999997</c:v>
                </c:pt>
                <c:pt idx="22">
                  <c:v>1.2999999999999998</c:v>
                </c:pt>
                <c:pt idx="24">
                  <c:v>1.2999999999999998</c:v>
                </c:pt>
                <c:pt idx="25">
                  <c:v>1.2999999999999998</c:v>
                </c:pt>
                <c:pt idx="27">
                  <c:v>1.2999999999999998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2A-4B86-9CC2-70E03E285F2B}"/>
            </c:ext>
          </c:extLst>
        </c:ser>
        <c:ser>
          <c:idx val="1"/>
          <c:order val="1"/>
          <c:tx>
            <c:v>WNu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B9F6-4F3B-8CEE-9D7797DBD03B}"/>
              </c:ext>
            </c:extLst>
          </c:dPt>
          <c:dLbls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'base de datos'!$H$35:$H$42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</c:numCache>
            </c:numRef>
          </c:xVal>
          <c:yVal>
            <c:numRef>
              <c:f>'base de datos'!$I$35:$I$42</c:f>
              <c:numCache>
                <c:formatCode>General</c:formatCode>
                <c:ptCount val="8"/>
                <c:pt idx="0">
                  <c:v>0</c:v>
                </c:pt>
                <c:pt idx="1">
                  <c:v>-0.19999999999999998</c:v>
                </c:pt>
                <c:pt idx="3">
                  <c:v>-0.19999999999999998</c:v>
                </c:pt>
                <c:pt idx="4">
                  <c:v>-0.19999999999999998</c:v>
                </c:pt>
                <c:pt idx="6">
                  <c:v>-0.19999999999999998</c:v>
                </c:pt>
                <c:pt idx="7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datos'!$G$41</c15:f>
                <c15:dlblRangeCache>
                  <c:ptCount val="1"/>
                  <c:pt idx="0">
                    <c:v>Wnu= 106.75 tn/m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C2A-4B86-9CC2-70E03E285F2B}"/>
            </c:ext>
          </c:extLst>
        </c:ser>
        <c:ser>
          <c:idx val="2"/>
          <c:order val="2"/>
          <c:tx>
            <c:v>WNu↑</c:v>
          </c:tx>
          <c:spPr>
            <a:ln w="12700" cap="rnd">
              <a:solidFill>
                <a:schemeClr val="accent2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'base de datos'!$H$44:$H$57</c:f>
              <c:numCache>
                <c:formatCode>General</c:formatCode>
                <c:ptCount val="14"/>
                <c:pt idx="0">
                  <c:v>0.18333333333333335</c:v>
                </c:pt>
                <c:pt idx="1">
                  <c:v>0.18333333333333335</c:v>
                </c:pt>
                <c:pt idx="3">
                  <c:v>0.3666666666666667</c:v>
                </c:pt>
                <c:pt idx="4">
                  <c:v>0.3666666666666667</c:v>
                </c:pt>
                <c:pt idx="6">
                  <c:v>0.55000000000000004</c:v>
                </c:pt>
                <c:pt idx="7">
                  <c:v>0.55000000000000004</c:v>
                </c:pt>
                <c:pt idx="9">
                  <c:v>0.73333333333333339</c:v>
                </c:pt>
                <c:pt idx="10">
                  <c:v>0.73333333333333339</c:v>
                </c:pt>
                <c:pt idx="12">
                  <c:v>0.91666666666666663</c:v>
                </c:pt>
                <c:pt idx="13">
                  <c:v>0.91666666666666663</c:v>
                </c:pt>
              </c:numCache>
            </c:numRef>
          </c:xVal>
          <c:yVal>
            <c:numRef>
              <c:f>'base de datos'!$I$44:$I$57</c:f>
              <c:numCache>
                <c:formatCode>General</c:formatCode>
                <c:ptCount val="14"/>
                <c:pt idx="0">
                  <c:v>-0.19999999999999998</c:v>
                </c:pt>
                <c:pt idx="1">
                  <c:v>0</c:v>
                </c:pt>
                <c:pt idx="3">
                  <c:v>-0.19999999999999998</c:v>
                </c:pt>
                <c:pt idx="4">
                  <c:v>0</c:v>
                </c:pt>
                <c:pt idx="6">
                  <c:v>-0.19999999999999998</c:v>
                </c:pt>
                <c:pt idx="7">
                  <c:v>0</c:v>
                </c:pt>
                <c:pt idx="9">
                  <c:v>-0.19999999999999998</c:v>
                </c:pt>
                <c:pt idx="10">
                  <c:v>0</c:v>
                </c:pt>
                <c:pt idx="12">
                  <c:v>-0.19999999999999998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2A-4B86-9CC2-70E03E285F2B}"/>
            </c:ext>
          </c:extLst>
        </c:ser>
        <c:ser>
          <c:idx val="3"/>
          <c:order val="3"/>
          <c:tx>
            <c:v>RN</c:v>
          </c:tx>
          <c:spPr>
            <a:ln w="19050" cap="rnd">
              <a:solidFill>
                <a:srgbClr val="0070C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'base de datos'!$H$59:$H$60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0.55000000000000004</c:v>
                </c:pt>
              </c:numCache>
            </c:numRef>
          </c:xVal>
          <c:yVal>
            <c:numRef>
              <c:f>'base de datos'!$I$59:$I$60</c:f>
              <c:numCache>
                <c:formatCode>General</c:formatCode>
                <c:ptCount val="2"/>
                <c:pt idx="0">
                  <c:v>-0.35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2A-4B86-9CC2-70E03E285F2B}"/>
            </c:ext>
          </c:extLst>
        </c:ser>
        <c:ser>
          <c:idx val="4"/>
          <c:order val="4"/>
          <c:tx>
            <c:v>cota RN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8A04059-7398-47B5-ABBE-31CB08595140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C2A-4B86-9CC2-70E03E285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datos'!$H$59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datos'!$I$59</c:f>
              <c:numCache>
                <c:formatCode>General</c:formatCode>
                <c:ptCount val="1"/>
                <c:pt idx="0">
                  <c:v>-0.35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datos'!$G$59</c15:f>
                <c15:dlblRangeCache>
                  <c:ptCount val="1"/>
                  <c:pt idx="0">
                    <c:v>RN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C2A-4B86-9CC2-70E03E285F2B}"/>
            </c:ext>
          </c:extLst>
        </c:ser>
        <c:ser>
          <c:idx val="5"/>
          <c:order val="5"/>
          <c:tx>
            <c:v>Longitude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datos'!$H$62:$H$72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</c:numCache>
            </c:numRef>
          </c:xVal>
          <c:yVal>
            <c:numRef>
              <c:f>'base de datos'!$I$62:$I$72</c:f>
              <c:numCache>
                <c:formatCode>General</c:formatCode>
                <c:ptCount val="11"/>
                <c:pt idx="0">
                  <c:v>-0.35</c:v>
                </c:pt>
                <c:pt idx="1">
                  <c:v>-0.6</c:v>
                </c:pt>
                <c:pt idx="3">
                  <c:v>-0.5</c:v>
                </c:pt>
                <c:pt idx="4">
                  <c:v>-0.5</c:v>
                </c:pt>
                <c:pt idx="6">
                  <c:v>-0.35</c:v>
                </c:pt>
                <c:pt idx="7">
                  <c:v>-0.6</c:v>
                </c:pt>
                <c:pt idx="9">
                  <c:v>0.85</c:v>
                </c:pt>
                <c:pt idx="10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2A-4B86-9CC2-70E03E285F2B}"/>
            </c:ext>
          </c:extLst>
        </c:ser>
        <c:ser>
          <c:idx val="6"/>
          <c:order val="6"/>
          <c:tx>
            <c:v>cota B Za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42ECA4A-FB23-4198-A4A7-8D146802F54A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C2A-4B86-9CC2-70E03E285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datos'!$H$74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datos'!$I$74</c:f>
              <c:numCache>
                <c:formatCode>General</c:formatCode>
                <c:ptCount val="1"/>
                <c:pt idx="0">
                  <c:v>-0.45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datos'!$G$74</c15:f>
                <c15:dlblRangeCache>
                  <c:ptCount val="1"/>
                  <c:pt idx="0">
                    <c:v>1.10 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7C2A-4B86-9CC2-70E03E285F2B}"/>
            </c:ext>
          </c:extLst>
        </c:ser>
        <c:ser>
          <c:idx val="7"/>
          <c:order val="7"/>
          <c:tx>
            <c:v>cota WNu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6E241B-A285-4F63-AF22-6DF024BE065D}" type="CELLRANGE"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 algn="l">
                        <a:defRPr sz="900" b="0" i="0" u="none" strike="noStrike" kern="1200" baseline="0">
                          <a:solidFill>
                            <a:schemeClr val="accent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79666666666663"/>
                      <c:h val="6.32088888888888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C2A-4B86-9CC2-70E03E285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datos'!$H$41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'base de datos'!$I$41</c:f>
              <c:numCache>
                <c:formatCode>General</c:formatCode>
                <c:ptCount val="1"/>
                <c:pt idx="0">
                  <c:v>-0.19999999999999998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datos'!$G$41</c15:f>
                <c15:dlblRangeCache>
                  <c:ptCount val="1"/>
                  <c:pt idx="0">
                    <c:v>Wnu= 106.75 tn/m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7C2A-4B86-9CC2-70E03E285F2B}"/>
            </c:ext>
          </c:extLst>
        </c:ser>
        <c:ser>
          <c:idx val="8"/>
          <c:order val="8"/>
          <c:tx>
            <c:v>T-a</c:v>
          </c:tx>
          <c:spPr>
            <a:ln w="12700" cap="rnd">
              <a:solidFill>
                <a:srgbClr val="FF0000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'base de datos'!$H$76:$H$80</c:f>
              <c:numCache>
                <c:formatCode>General</c:formatCode>
                <c:ptCount val="5"/>
                <c:pt idx="0">
                  <c:v>0</c:v>
                </c:pt>
                <c:pt idx="1">
                  <c:v>0.65</c:v>
                </c:pt>
                <c:pt idx="3">
                  <c:v>0.65</c:v>
                </c:pt>
                <c:pt idx="4">
                  <c:v>1.1000000000000001</c:v>
                </c:pt>
              </c:numCache>
            </c:numRef>
          </c:xVal>
          <c:yVal>
            <c:numRef>
              <c:f>'base de datos'!$I$76:$I$80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C2A-4B86-9CC2-70E03E285F2B}"/>
            </c:ext>
          </c:extLst>
        </c:ser>
        <c:ser>
          <c:idx val="9"/>
          <c:order val="9"/>
          <c:tx>
            <c:v>cota T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5151F52-06E6-4A1E-ACAF-19E460E00AEF}" type="CELLRANGE">
                      <a:rPr lang="es-PE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0" anchor="b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'base de datos'!$H$82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datos'!$I$82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datos'!$G$82</c15:f>
                <c15:dlblRangeCache>
                  <c:ptCount val="1"/>
                  <c:pt idx="0">
                    <c:v>T= 0.65m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B9F6-4F3B-8CEE-9D7797DBD03B}"/>
            </c:ext>
          </c:extLst>
        </c:ser>
        <c:ser>
          <c:idx val="10"/>
          <c:order val="10"/>
          <c:tx>
            <c:v>cota a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08738D-E6B5-4FAC-95AF-E525101FAF6B}" type="CELLRANGE">
                      <a:rPr lang="en-US"/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datos'!$H$83</c:f>
              <c:numCache>
                <c:formatCode>General</c:formatCode>
                <c:ptCount val="1"/>
                <c:pt idx="0">
                  <c:v>0.875</c:v>
                </c:pt>
              </c:numCache>
            </c:numRef>
          </c:xVal>
          <c:yVal>
            <c:numRef>
              <c:f>'base de datos'!$I$83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datos'!$G$83</c15:f>
                <c15:dlblRangeCache>
                  <c:ptCount val="1"/>
                  <c:pt idx="0">
                    <c:v>a= 0.45m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B9F6-4F3B-8CEE-9D7797DBD03B}"/>
            </c:ext>
          </c:extLst>
        </c:ser>
        <c:ser>
          <c:idx val="11"/>
          <c:order val="11"/>
          <c:tx>
            <c:v>Pu</c:v>
          </c:tx>
          <c:spPr>
            <a:ln w="19050" cap="rnd">
              <a:solidFill>
                <a:srgbClr val="C000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'base de datos'!$H$85:$H$86</c:f>
              <c:numCache>
                <c:formatCode>General</c:formatCode>
                <c:ptCount val="2"/>
                <c:pt idx="0">
                  <c:v>0.32500000000000001</c:v>
                </c:pt>
                <c:pt idx="1">
                  <c:v>0.32500000000000001</c:v>
                </c:pt>
              </c:numCache>
            </c:numRef>
          </c:xVal>
          <c:yVal>
            <c:numRef>
              <c:f>'base de datos'!$I$85:$I$86</c:f>
              <c:numCache>
                <c:formatCode>General</c:formatCode>
                <c:ptCount val="2"/>
                <c:pt idx="0">
                  <c:v>1.0499999999999998</c:v>
                </c:pt>
                <c:pt idx="1">
                  <c:v>1.5499999999999998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F6-4F3B-8CEE-9D7797DBD03B}"/>
            </c:ext>
          </c:extLst>
        </c:ser>
        <c:ser>
          <c:idx val="12"/>
          <c:order val="12"/>
          <c:tx>
            <c:v>cota Pu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7C188C-C7F9-47D5-9843-F87E4C8442D7}" type="CELLRANGE">
                      <a:rPr lang="en-US"/>
                      <a:pPr>
                        <a:defRPr sz="1000" b="1" i="0" u="none" strike="noStrike" kern="1200" baseline="0">
                          <a:solidFill>
                            <a:srgbClr val="C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83013296094261"/>
                      <c:h val="5.045335688529947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datos'!$H$86</c:f>
              <c:numCache>
                <c:formatCode>General</c:formatCode>
                <c:ptCount val="1"/>
                <c:pt idx="0">
                  <c:v>0.32500000000000001</c:v>
                </c:pt>
              </c:numCache>
            </c:numRef>
          </c:xVal>
          <c:yVal>
            <c:numRef>
              <c:f>'base de datos'!$I$86</c:f>
              <c:numCache>
                <c:formatCode>General</c:formatCode>
                <c:ptCount val="1"/>
                <c:pt idx="0">
                  <c:v>1.5499999999999998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datos'!$G$86</c15:f>
                <c15:dlblRangeCache>
                  <c:ptCount val="1"/>
                  <c:pt idx="0">
                    <c:v>Pu= 117.42tn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B9F6-4F3B-8CEE-9D7797DBD03B}"/>
            </c:ext>
          </c:extLst>
        </c:ser>
        <c:ser>
          <c:idx val="13"/>
          <c:order val="13"/>
          <c:tx>
            <c:v>Ø Excentricidad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'base de datos'!$H$88:$H$89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1.0250000000000001</c:v>
                </c:pt>
              </c:numCache>
            </c:numRef>
          </c:xVal>
          <c:yVal>
            <c:numRef>
              <c:f>'base de datos'!$I$88:$I$89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9F6-4F3B-8CEE-9D7797DBD03B}"/>
            </c:ext>
          </c:extLst>
        </c:ser>
        <c:ser>
          <c:idx val="14"/>
          <c:order val="14"/>
          <c:tx>
            <c:v>Øexc #barras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B2BE415-29BC-4FB9-9B44-E4F14EE72C3D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datos'!$H$91</c:f>
              <c:numCache>
                <c:formatCode>General</c:formatCode>
                <c:ptCount val="1"/>
                <c:pt idx="0">
                  <c:v>0.36500000000000005</c:v>
                </c:pt>
              </c:numCache>
            </c:numRef>
          </c:xVal>
          <c:yVal>
            <c:numRef>
              <c:f>'base de datos'!$I$91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datos'!$G$91</c15:f>
                <c15:dlblRangeCache>
                  <c:ptCount val="1"/>
                  <c:pt idx="0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B9F6-4F3B-8CEE-9D7797DBD03B}"/>
            </c:ext>
          </c:extLst>
        </c:ser>
        <c:ser>
          <c:idx val="15"/>
          <c:order val="15"/>
          <c:tx>
            <c:v>Øexc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2A9939D-BB78-45D1-8875-775FFDDD12D5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datos'!$H$92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xVal>
          <c:yVal>
            <c:numRef>
              <c:f>'base de datos'!$I$92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datos'!$G$92</c15:f>
                <c15:dlblRangeCache>
                  <c:ptCount val="1"/>
                  <c:pt idx="0">
                    <c:v>Ø 5/8"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B9F6-4F3B-8CEE-9D7797DBD03B}"/>
            </c:ext>
          </c:extLst>
        </c:ser>
        <c:ser>
          <c:idx val="16"/>
          <c:order val="16"/>
          <c:tx>
            <c:v>Øexc Sreq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33B1CC0-1BF7-41B9-8E37-28282774CF89}" type="CELLRANGE">
                      <a:rPr lang="en-US"/>
                      <a:pPr/>
                      <a:t>[CELLRANGE]</a:t>
                    </a:fld>
                    <a:endParaRPr lang="es-P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9F6-4F3B-8CEE-9D7797DBD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'base de datos'!$H$93</c:f>
              <c:numCache>
                <c:formatCode>General</c:formatCode>
                <c:ptCount val="1"/>
                <c:pt idx="0">
                  <c:v>0.80500000000000005</c:v>
                </c:pt>
              </c:numCache>
            </c:numRef>
          </c:xVal>
          <c:yVal>
            <c:numRef>
              <c:f>'base de datos'!$I$93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'base de datos'!$G$93</c15:f>
                <c15:dlblRangeCache>
                  <c:ptCount val="1"/>
                  <c:pt idx="0">
                    <c:v>@0.17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9F6-4F3B-8CEE-9D7797DBD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521743"/>
        <c:axId val="1320734671"/>
      </c:scatterChart>
      <c:valAx>
        <c:axId val="1329521743"/>
        <c:scaling>
          <c:orientation val="minMax"/>
          <c:max val="2.75"/>
          <c:min val="-0.25"/>
        </c:scaling>
        <c:delete val="0"/>
        <c:axPos val="b"/>
        <c:numFmt formatCode="General" sourceLinked="1"/>
        <c:majorTickMark val="out"/>
        <c:minorTickMark val="none"/>
        <c:tickLblPos val="nextTo"/>
        <c:crossAx val="1320734671"/>
        <c:crosses val="autoZero"/>
        <c:crossBetween val="midCat"/>
      </c:valAx>
      <c:valAx>
        <c:axId val="1320734671"/>
        <c:scaling>
          <c:orientation val="minMax"/>
          <c:max val="2.25"/>
          <c:min val="-0.75000000000000011"/>
        </c:scaling>
        <c:delete val="0"/>
        <c:axPos val="l"/>
        <c:numFmt formatCode="General" sourceLinked="1"/>
        <c:majorTickMark val="out"/>
        <c:minorTickMark val="none"/>
        <c:tickLblPos val="nextTo"/>
        <c:crossAx val="1329521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hyperlink" Target="https://www.tiktok.com/@heb_merma" TargetMode="Externa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hebmerma.com/" TargetMode="External"/><Relationship Id="rId6" Type="http://schemas.openxmlformats.org/officeDocument/2006/relationships/chart" Target="../charts/chart4.xml"/><Relationship Id="rId11" Type="http://schemas.openxmlformats.org/officeDocument/2006/relationships/hyperlink" Target="https://www.youtube.com/@HebMerma" TargetMode="External"/><Relationship Id="rId5" Type="http://schemas.openxmlformats.org/officeDocument/2006/relationships/chart" Target="../charts/chart3.xml"/><Relationship Id="rId15" Type="http://schemas.microsoft.com/office/2007/relationships/hdphoto" Target="../media/hdphoto1.wdp"/><Relationship Id="rId10" Type="http://schemas.openxmlformats.org/officeDocument/2006/relationships/image" Target="../media/image2.png"/><Relationship Id="rId4" Type="http://schemas.openxmlformats.org/officeDocument/2006/relationships/chart" Target="../charts/chart2.xml"/><Relationship Id="rId9" Type="http://schemas.openxmlformats.org/officeDocument/2006/relationships/hyperlink" Target="https://www.facebook.com/HM.ArquitecturaeIngenieria/" TargetMode="External"/><Relationship Id="rId1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3" Type="http://schemas.openxmlformats.org/officeDocument/2006/relationships/chart" Target="../charts/chart9.xml"/><Relationship Id="rId7" Type="http://schemas.openxmlformats.org/officeDocument/2006/relationships/image" Target="../media/image5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66675</xdr:rowOff>
    </xdr:from>
    <xdr:to>
      <xdr:col>4</xdr:col>
      <xdr:colOff>141661</xdr:colOff>
      <xdr:row>4</xdr:row>
      <xdr:rowOff>123825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3E50E-660B-4F74-9332-A13F620EE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66675"/>
          <a:ext cx="817935" cy="8191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16</xdr:col>
      <xdr:colOff>0</xdr:colOff>
      <xdr:row>5</xdr:row>
      <xdr:rowOff>38100</xdr:rowOff>
    </xdr:from>
    <xdr:to>
      <xdr:col>30</xdr:col>
      <xdr:colOff>152399</xdr:colOff>
      <xdr:row>24</xdr:row>
      <xdr:rowOff>38102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989C7C7-5F1C-4526-B9C9-98A803F0E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98</xdr:row>
      <xdr:rowOff>85725</xdr:rowOff>
    </xdr:from>
    <xdr:to>
      <xdr:col>37</xdr:col>
      <xdr:colOff>16650</xdr:colOff>
      <xdr:row>119</xdr:row>
      <xdr:rowOff>45225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6C0135A-14D5-4BDA-BC70-EBED7B6F7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200025</xdr:colOff>
      <xdr:row>128</xdr:row>
      <xdr:rowOff>133350</xdr:rowOff>
    </xdr:from>
    <xdr:to>
      <xdr:col>36</xdr:col>
      <xdr:colOff>216675</xdr:colOff>
      <xdr:row>149</xdr:row>
      <xdr:rowOff>92850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29303DC-EDAF-4960-95E5-15F183543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157</xdr:row>
      <xdr:rowOff>38100</xdr:rowOff>
    </xdr:from>
    <xdr:to>
      <xdr:col>19</xdr:col>
      <xdr:colOff>188100</xdr:colOff>
      <xdr:row>180</xdr:row>
      <xdr:rowOff>21412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6DF6C04-D4AB-4F04-8852-7C080AFF8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38100</xdr:colOff>
      <xdr:row>160</xdr:row>
      <xdr:rowOff>123825</xdr:rowOff>
    </xdr:from>
    <xdr:to>
      <xdr:col>35</xdr:col>
      <xdr:colOff>54750</xdr:colOff>
      <xdr:row>181</xdr:row>
      <xdr:rowOff>83325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B295D40-A4B4-4DE7-ABCF-F1E006010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95250</xdr:colOff>
      <xdr:row>5</xdr:row>
      <xdr:rowOff>66675</xdr:rowOff>
    </xdr:from>
    <xdr:to>
      <xdr:col>57</xdr:col>
      <xdr:colOff>200025</xdr:colOff>
      <xdr:row>24</xdr:row>
      <xdr:rowOff>142874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855E3DC-BD7C-4CD7-8432-464DFD137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56</xdr:col>
      <xdr:colOff>161925</xdr:colOff>
      <xdr:row>1</xdr:row>
      <xdr:rowOff>180976</xdr:rowOff>
    </xdr:from>
    <xdr:to>
      <xdr:col>57</xdr:col>
      <xdr:colOff>171450</xdr:colOff>
      <xdr:row>3</xdr:row>
      <xdr:rowOff>28576</xdr:rowOff>
    </xdr:to>
    <xdr:pic>
      <xdr:nvPicPr>
        <xdr:cNvPr id="16" name="Imagen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28E1F0E-A75E-4F06-BA22-DB4D04CE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0" y="371476"/>
          <a:ext cx="228600" cy="2286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56</xdr:col>
      <xdr:colOff>114300</xdr:colOff>
      <xdr:row>0</xdr:row>
      <xdr:rowOff>70619</xdr:rowOff>
    </xdr:from>
    <xdr:to>
      <xdr:col>57</xdr:col>
      <xdr:colOff>219074</xdr:colOff>
      <xdr:row>1</xdr:row>
      <xdr:rowOff>103398</xdr:rowOff>
    </xdr:to>
    <xdr:pic>
      <xdr:nvPicPr>
        <xdr:cNvPr id="7" name="Imagen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5490ECA-7DAA-4ABB-9C52-C66B964C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70619"/>
          <a:ext cx="323849" cy="22327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56</xdr:col>
      <xdr:colOff>132448</xdr:colOff>
      <xdr:row>3</xdr:row>
      <xdr:rowOff>91703</xdr:rowOff>
    </xdr:from>
    <xdr:to>
      <xdr:col>57</xdr:col>
      <xdr:colOff>161925</xdr:colOff>
      <xdr:row>4</xdr:row>
      <xdr:rowOff>152400</xdr:rowOff>
    </xdr:to>
    <xdr:pic>
      <xdr:nvPicPr>
        <xdr:cNvPr id="17" name="Imagen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B793B2-338E-4FD0-9292-A10142E3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4211" b="98947" l="2128" r="96809">
                      <a14:foregroundMark x1="73404" y1="73684" x2="73404" y2="73684"/>
                      <a14:foregroundMark x1="80851" y1="67368" x2="86170" y2="58947"/>
                      <a14:foregroundMark x1="88298" y1="48421" x2="87234" y2="36842"/>
                      <a14:foregroundMark x1="75532" y1="17895" x2="53191" y2="5263"/>
                      <a14:foregroundMark x1="37234" y1="7368" x2="21277" y2="31579"/>
                      <a14:foregroundMark x1="13830" y1="37895" x2="14894" y2="58947"/>
                      <a14:foregroundMark x1="23404" y1="44211" x2="39362" y2="26316"/>
                      <a14:foregroundMark x1="11702" y1="44211" x2="10638" y2="66316"/>
                      <a14:foregroundMark x1="15957" y1="71579" x2="16319" y2="72177"/>
                      <a14:foregroundMark x1="39362" y1="89474" x2="58511" y2="90526"/>
                      <a14:foregroundMark x1="68085" y1="84211" x2="78723" y2="70526"/>
                      <a14:foregroundMark x1="74468" y1="66316" x2="74468" y2="66316"/>
                      <a14:foregroundMark x1="88298" y1="66316" x2="96809" y2="55789"/>
                      <a14:foregroundMark x1="39362" y1="91579" x2="48936" y2="93684"/>
                      <a14:foregroundMark x1="3191" y1="50526" x2="3191" y2="50526"/>
                      <a14:foregroundMark x1="47872" y1="97895" x2="47872" y2="97895"/>
                      <a14:foregroundMark x1="46809" y1="98947" x2="46809" y2="98947"/>
                      <a14:foregroundMark x1="46809" y1="98947" x2="46809" y2="98947"/>
                      <a14:foregroundMark x1="46809" y1="98947" x2="46809" y2="98947"/>
                      <a14:foregroundMark x1="45745" y1="98947" x2="45745" y2="98947"/>
                      <a14:foregroundMark x1="59574" y1="52632" x2="59574" y2="52632"/>
                      <a14:foregroundMark x1="55319" y1="47368" x2="55319" y2="47368"/>
                      <a14:foregroundMark x1="58511" y1="41053" x2="60638" y2="40000"/>
                      <a14:foregroundMark x1="59574" y1="32632" x2="58511" y2="26316"/>
                      <a14:foregroundMark x1="38298" y1="52632" x2="30851" y2="68421"/>
                      <a14:foregroundMark x1="39362" y1="73684" x2="57447" y2="72632"/>
                      <a14:foregroundMark x1="46809" y1="97895" x2="46809" y2="97895"/>
                      <a14:foregroundMark x1="46809" y1="97895" x2="46809" y2="97895"/>
                      <a14:foregroundMark x1="47872" y1="93684" x2="47872" y2="93684"/>
                      <a14:foregroundMark x1="51064" y1="91579" x2="51064" y2="91579"/>
                      <a14:backgroundMark x1="88298" y1="93684" x2="88298" y2="93684"/>
                      <a14:backgroundMark x1="89362" y1="92632" x2="90426" y2="90526"/>
                      <a14:backgroundMark x1="93617" y1="15789" x2="85106" y2="4211"/>
                      <a14:backgroundMark x1="15957" y1="2105" x2="1064" y2="21053"/>
                      <a14:backgroundMark x1="1064" y1="81053" x2="9574" y2="93684"/>
                      <a14:backgroundMark x1="14894" y1="93684" x2="22340" y2="94737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448273" y="663203"/>
          <a:ext cx="248552" cy="25119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123</xdr:row>
      <xdr:rowOff>9524</xdr:rowOff>
    </xdr:from>
    <xdr:to>
      <xdr:col>30</xdr:col>
      <xdr:colOff>219075</xdr:colOff>
      <xdr:row>146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A950FC3-7A1F-41B2-A1D7-3AA1B76F5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38101</xdr:colOff>
      <xdr:row>18</xdr:row>
      <xdr:rowOff>1</xdr:rowOff>
    </xdr:from>
    <xdr:to>
      <xdr:col>22</xdr:col>
      <xdr:colOff>152400</xdr:colOff>
      <xdr:row>37</xdr:row>
      <xdr:rowOff>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1F6177B-B9A4-4E47-885D-CBAD90D63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28574</xdr:colOff>
      <xdr:row>37</xdr:row>
      <xdr:rowOff>19050</xdr:rowOff>
    </xdr:from>
    <xdr:to>
      <xdr:col>24</xdr:col>
      <xdr:colOff>121424</xdr:colOff>
      <xdr:row>57</xdr:row>
      <xdr:rowOff>169050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27BFD3-5284-4D5A-B74F-19E25D0B3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19048</xdr:colOff>
      <xdr:row>58</xdr:row>
      <xdr:rowOff>14287</xdr:rowOff>
    </xdr:from>
    <xdr:to>
      <xdr:col>24</xdr:col>
      <xdr:colOff>111898</xdr:colOff>
      <xdr:row>78</xdr:row>
      <xdr:rowOff>164287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3B7BACFC-51B5-4188-8D13-59FBEF69A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79</xdr:row>
      <xdr:rowOff>9526</xdr:rowOff>
    </xdr:from>
    <xdr:to>
      <xdr:col>24</xdr:col>
      <xdr:colOff>111900</xdr:colOff>
      <xdr:row>101</xdr:row>
      <xdr:rowOff>183338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B39B7BF-C249-43CA-A60D-429B61778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161925</xdr:colOff>
      <xdr:row>102</xdr:row>
      <xdr:rowOff>33337</xdr:rowOff>
    </xdr:from>
    <xdr:to>
      <xdr:col>24</xdr:col>
      <xdr:colOff>254775</xdr:colOff>
      <xdr:row>122</xdr:row>
      <xdr:rowOff>183337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374763B-9902-48B9-80C3-CDB9D0060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133350</xdr:colOff>
      <xdr:row>121</xdr:row>
      <xdr:rowOff>171450</xdr:rowOff>
    </xdr:from>
    <xdr:to>
      <xdr:col>14</xdr:col>
      <xdr:colOff>43756</xdr:colOff>
      <xdr:row>132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187603-8E28-45DC-8414-95C6F9F15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3350" y="23221950"/>
          <a:ext cx="5358706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bmerma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2EE4-59C6-452D-B1DF-A6AA134FD2C1}">
  <sheetPr codeName="Hoja1"/>
  <dimension ref="A1:BC182"/>
  <sheetViews>
    <sheetView showGridLines="0" showRowColHeaders="0" tabSelected="1" zoomScaleNormal="100" workbookViewId="0">
      <pane ySplit="5" topLeftCell="A6" activePane="bottomLeft" state="frozen"/>
      <selection pane="bottomLeft" activeCell="H2" sqref="H2:I2"/>
    </sheetView>
  </sheetViews>
  <sheetFormatPr baseColWidth="10" defaultColWidth="3.28515625" defaultRowHeight="15" x14ac:dyDescent="0.25"/>
  <cols>
    <col min="1" max="1" width="3.28515625" style="15"/>
    <col min="2" max="2" width="3.28515625" style="17"/>
    <col min="3" max="7" width="3.28515625" style="15"/>
    <col min="8" max="8" width="4" style="15" bestFit="1" customWidth="1"/>
    <col min="9" max="9" width="3.28515625" style="15"/>
    <col min="10" max="11" width="3.28515625" style="15" customWidth="1"/>
    <col min="12" max="16384" width="3.28515625" style="15"/>
  </cols>
  <sheetData>
    <row r="1" spans="1:55" s="3" customFormat="1" x14ac:dyDescent="0.25">
      <c r="B1" s="51" t="str">
        <f>IF(AND(H2="",H3="",H4="",O2="",O3="",V2="",V3="",V4="",AC2="",AC3=""),1,"")</f>
        <v/>
      </c>
      <c r="G1" s="5" t="s">
        <v>82</v>
      </c>
      <c r="AH1" s="6" t="s">
        <v>89</v>
      </c>
      <c r="AQ1" s="7" t="s">
        <v>93</v>
      </c>
      <c r="AX1" s="7" t="s">
        <v>92</v>
      </c>
    </row>
    <row r="2" spans="1:55" s="3" customFormat="1" x14ac:dyDescent="0.25">
      <c r="G2" s="8" t="s">
        <v>0</v>
      </c>
      <c r="H2" s="63">
        <v>210</v>
      </c>
      <c r="I2" s="63"/>
      <c r="J2" s="3" t="s">
        <v>64</v>
      </c>
      <c r="M2" s="9"/>
      <c r="N2" s="8" t="s">
        <v>2</v>
      </c>
      <c r="O2" s="148">
        <v>58.37</v>
      </c>
      <c r="P2" s="148"/>
      <c r="Q2" s="3" t="s">
        <v>12</v>
      </c>
      <c r="U2" s="10" t="s">
        <v>5</v>
      </c>
      <c r="V2" s="63">
        <v>3.5</v>
      </c>
      <c r="W2" s="63"/>
      <c r="X2" s="3" t="s">
        <v>65</v>
      </c>
      <c r="AB2" s="10" t="s">
        <v>8</v>
      </c>
      <c r="AC2" s="63">
        <v>400</v>
      </c>
      <c r="AD2" s="63"/>
      <c r="AE2" s="3" t="s">
        <v>66</v>
      </c>
      <c r="AH2" s="11"/>
      <c r="AI2" s="8" t="s">
        <v>24</v>
      </c>
      <c r="AJ2" s="65">
        <f>IF(A41="","",E43)</f>
        <v>0.15</v>
      </c>
      <c r="AK2" s="65"/>
      <c r="AL2" s="8" t="s">
        <v>26</v>
      </c>
      <c r="AM2" s="66">
        <f>IF(A42="","",M47)</f>
        <v>0.8</v>
      </c>
      <c r="AN2" s="66"/>
      <c r="AR2" s="8" t="s">
        <v>35</v>
      </c>
      <c r="AS2" s="62" t="s">
        <v>42</v>
      </c>
      <c r="AT2" s="62"/>
      <c r="AY2" s="8" t="s">
        <v>35</v>
      </c>
      <c r="AZ2" s="62" t="s">
        <v>42</v>
      </c>
      <c r="BA2" s="62"/>
    </row>
    <row r="3" spans="1:55" s="3" customFormat="1" x14ac:dyDescent="0.25">
      <c r="C3" s="49" t="str">
        <f>IF(AG5="https://hebmerma.com/",AG5,"faile")</f>
        <v>https://hebmerma.com/</v>
      </c>
      <c r="G3" s="8" t="s">
        <v>1</v>
      </c>
      <c r="H3" s="63">
        <v>4200</v>
      </c>
      <c r="I3" s="63"/>
      <c r="J3" s="3" t="s">
        <v>65</v>
      </c>
      <c r="M3" s="9"/>
      <c r="N3" s="8" t="s">
        <v>3</v>
      </c>
      <c r="O3" s="155">
        <v>21</v>
      </c>
      <c r="P3" s="155"/>
      <c r="Q3" s="3" t="s">
        <v>12</v>
      </c>
      <c r="U3" s="10" t="s">
        <v>6</v>
      </c>
      <c r="V3" s="148">
        <v>1.2</v>
      </c>
      <c r="W3" s="148"/>
      <c r="X3" s="3" t="s">
        <v>10</v>
      </c>
      <c r="AB3" s="10" t="s">
        <v>9</v>
      </c>
      <c r="AC3" s="63">
        <v>12</v>
      </c>
      <c r="AD3" s="63"/>
      <c r="AE3" s="3" t="s">
        <v>66</v>
      </c>
      <c r="AH3" s="11"/>
      <c r="AI3" s="8" t="s">
        <v>70</v>
      </c>
      <c r="AJ3" s="63">
        <v>0.5</v>
      </c>
      <c r="AK3" s="63"/>
      <c r="AL3" s="12" t="str">
        <f>IF(A42="","",IF(K57&gt;O57,"No","Si"))</f>
        <v>No</v>
      </c>
      <c r="AR3" s="8" t="s">
        <v>90</v>
      </c>
      <c r="AS3" s="61">
        <f>IF(A89="","",D114)</f>
        <v>23.76</v>
      </c>
      <c r="AT3" s="61"/>
      <c r="AU3" s="61"/>
      <c r="AV3" s="9" t="str">
        <f>IF(N112="...cumple!","✓","X")</f>
        <v>✓</v>
      </c>
      <c r="AY3" s="8" t="s">
        <v>90</v>
      </c>
      <c r="AZ3" s="61">
        <f>IF(A124="","",K147)</f>
        <v>11.88</v>
      </c>
      <c r="BA3" s="61"/>
      <c r="BB3" s="61"/>
      <c r="BC3" s="9" t="str">
        <f>IF(N147="...cumple!","✓","X")</f>
        <v>✓</v>
      </c>
    </row>
    <row r="4" spans="1:55" s="3" customFormat="1" x14ac:dyDescent="0.25">
      <c r="G4" s="8" t="s">
        <v>25</v>
      </c>
      <c r="H4" s="148">
        <v>4.5</v>
      </c>
      <c r="I4" s="148"/>
      <c r="J4" s="3" t="s">
        <v>10</v>
      </c>
      <c r="M4" s="9"/>
      <c r="N4" s="8" t="s">
        <v>4</v>
      </c>
      <c r="O4" s="160">
        <f>+O2+O3</f>
        <v>79.37</v>
      </c>
      <c r="P4" s="160"/>
      <c r="Q4" s="3" t="s">
        <v>12</v>
      </c>
      <c r="U4" s="10" t="s">
        <v>7</v>
      </c>
      <c r="V4" s="148">
        <v>2.1</v>
      </c>
      <c r="W4" s="148"/>
      <c r="X4" s="3" t="s">
        <v>11</v>
      </c>
      <c r="AH4" s="11"/>
      <c r="AI4" s="8" t="s">
        <v>29</v>
      </c>
      <c r="AJ4" s="64">
        <v>0.65</v>
      </c>
      <c r="AK4" s="64"/>
      <c r="AL4" s="8" t="s">
        <v>26</v>
      </c>
      <c r="AM4" s="66">
        <f>IF(A62="","",M70)</f>
        <v>1.75</v>
      </c>
      <c r="AN4" s="66"/>
      <c r="AP4" s="13"/>
      <c r="AQ4" s="13"/>
      <c r="AR4" s="8" t="s">
        <v>70</v>
      </c>
      <c r="AS4" s="62" t="s">
        <v>41</v>
      </c>
      <c r="AT4" s="62"/>
      <c r="AX4" s="13"/>
      <c r="AY4" s="8" t="s">
        <v>70</v>
      </c>
      <c r="AZ4" s="62" t="s">
        <v>41</v>
      </c>
      <c r="BA4" s="62"/>
    </row>
    <row r="5" spans="1:55" s="3" customFormat="1" x14ac:dyDescent="0.25">
      <c r="B5" s="4"/>
      <c r="AG5" s="45" t="str">
        <f>IF(B1=1,"","https://hebmerma.com/")</f>
        <v>https://hebmerma.com/</v>
      </c>
      <c r="AH5" s="11"/>
      <c r="AI5" s="8" t="s">
        <v>70</v>
      </c>
      <c r="AJ5" s="63">
        <v>0.05</v>
      </c>
      <c r="AK5" s="63"/>
      <c r="AL5" s="12" t="str">
        <f>IF(A42="","",IF(G85&gt;D85,"Si","No"))</f>
        <v>Si</v>
      </c>
      <c r="AR5" s="8" t="s">
        <v>91</v>
      </c>
      <c r="AS5" s="61">
        <f>IF(A89="","",J116*VLOOKUP(AS4,AN108:AS117,5,FALSE))</f>
        <v>24</v>
      </c>
      <c r="AT5" s="61"/>
      <c r="AU5" s="61"/>
      <c r="AV5" s="9" t="str">
        <f>IF(AS5&lt;AS3,"X","✓")</f>
        <v>✓</v>
      </c>
      <c r="AY5" s="8" t="s">
        <v>91</v>
      </c>
      <c r="AZ5" s="61">
        <f>IF(A89="","",J151*VLOOKUP(AZ4,AN108:AS117,5,FALSE))</f>
        <v>12</v>
      </c>
      <c r="BA5" s="61"/>
      <c r="BB5" s="61"/>
      <c r="BC5" s="9" t="str">
        <f>IF(AZ5&lt;AZ3,"X","✓")</f>
        <v>✓</v>
      </c>
    </row>
    <row r="6" spans="1:55" x14ac:dyDescent="0.25">
      <c r="A6" s="50" t="str">
        <f>IF(C3="https://hebmerma.com/","H","")</f>
        <v>H</v>
      </c>
      <c r="B6" s="14"/>
    </row>
    <row r="7" spans="1:55" x14ac:dyDescent="0.25">
      <c r="A7" s="16" t="s">
        <v>60</v>
      </c>
    </row>
    <row r="9" spans="1:55" x14ac:dyDescent="0.25">
      <c r="B9" s="18" t="s">
        <v>13</v>
      </c>
      <c r="C9" s="19">
        <f>IF(A6="","",V2*10)</f>
        <v>35</v>
      </c>
      <c r="D9" s="156">
        <f>IF(A6="","",V3)</f>
        <v>1.2</v>
      </c>
      <c r="E9" s="156"/>
      <c r="F9" s="157">
        <f>IF(A6="","",V4)</f>
        <v>2.1</v>
      </c>
      <c r="G9" s="157"/>
      <c r="H9" s="156">
        <f>IF(A6="","",AC2/1000)</f>
        <v>0.4</v>
      </c>
      <c r="I9" s="156"/>
      <c r="J9" s="158">
        <f>IF(A6="","",(V2*10)-(V3*V4)-(AC2/1000))</f>
        <v>32.08</v>
      </c>
      <c r="K9" s="158"/>
      <c r="L9" s="158"/>
      <c r="M9" s="158"/>
    </row>
    <row r="11" spans="1:55" x14ac:dyDescent="0.25">
      <c r="A11" s="16" t="s">
        <v>61</v>
      </c>
    </row>
    <row r="13" spans="1:55" x14ac:dyDescent="0.25">
      <c r="B13" s="127" t="s">
        <v>14</v>
      </c>
      <c r="C13" s="127"/>
      <c r="D13" s="153">
        <f>IF(A6="","",O4)</f>
        <v>79.37</v>
      </c>
      <c r="E13" s="153"/>
      <c r="F13" s="154">
        <f>IF(A6="","",ROUND(D13/D14,2))</f>
        <v>2.4700000000000002</v>
      </c>
      <c r="G13" s="154"/>
      <c r="H13" s="154"/>
    </row>
    <row r="14" spans="1:55" x14ac:dyDescent="0.25">
      <c r="B14" s="127"/>
      <c r="C14" s="127"/>
      <c r="D14" s="60">
        <f>IF(A6="","",J9)</f>
        <v>32.08</v>
      </c>
      <c r="E14" s="60"/>
      <c r="F14" s="154"/>
      <c r="G14" s="154"/>
      <c r="H14" s="154"/>
    </row>
    <row r="16" spans="1:55" x14ac:dyDescent="0.25">
      <c r="B16" s="20" t="s">
        <v>15</v>
      </c>
    </row>
    <row r="18" spans="1:22" x14ac:dyDescent="0.25">
      <c r="B18" s="21" t="s">
        <v>16</v>
      </c>
      <c r="E18" s="22" t="s">
        <v>19</v>
      </c>
    </row>
    <row r="20" spans="1:22" x14ac:dyDescent="0.25">
      <c r="B20" s="90" t="s">
        <v>62</v>
      </c>
      <c r="C20" s="90"/>
      <c r="D20" s="118">
        <f>IF(A6="","",F13)</f>
        <v>2.4700000000000002</v>
      </c>
      <c r="E20" s="118"/>
      <c r="F20" s="89">
        <f>IF(A6="","",MROUND(SQRT(F13/2),0.05))</f>
        <v>1.1000000000000001</v>
      </c>
      <c r="G20" s="89"/>
      <c r="H20" s="89"/>
      <c r="J20" s="127" t="s">
        <v>17</v>
      </c>
      <c r="K20" s="127"/>
      <c r="L20" s="72">
        <f>IF(A6="","",2)</f>
        <v>2</v>
      </c>
      <c r="M20" s="167">
        <f>IF(A6="","",F20)</f>
        <v>1.1000000000000001</v>
      </c>
      <c r="N20" s="167"/>
      <c r="O20" s="166">
        <f>IF(A6="","",F20*2)</f>
        <v>2.2000000000000002</v>
      </c>
      <c r="P20" s="166"/>
      <c r="Q20" s="166"/>
    </row>
    <row r="21" spans="1:22" x14ac:dyDescent="0.25">
      <c r="B21" s="90"/>
      <c r="C21" s="90"/>
      <c r="D21" s="159">
        <f>IF(A6="","",2)</f>
        <v>2</v>
      </c>
      <c r="E21" s="159"/>
      <c r="F21" s="89"/>
      <c r="G21" s="89"/>
      <c r="H21" s="89"/>
      <c r="J21" s="127"/>
      <c r="K21" s="127"/>
      <c r="L21" s="72"/>
      <c r="M21" s="167"/>
      <c r="N21" s="167"/>
      <c r="O21" s="166"/>
      <c r="P21" s="166"/>
      <c r="Q21" s="166"/>
    </row>
    <row r="22" spans="1:22" x14ac:dyDescent="0.25">
      <c r="G22" s="23"/>
    </row>
    <row r="23" spans="1:22" x14ac:dyDescent="0.25">
      <c r="C23" s="24" t="s">
        <v>67</v>
      </c>
      <c r="D23" s="24"/>
      <c r="E23" s="24"/>
      <c r="F23" s="168">
        <f>IF(A6="","",F20)</f>
        <v>1.1000000000000001</v>
      </c>
      <c r="G23" s="168"/>
      <c r="H23" s="25" t="str">
        <f>IF(A6="","","x")</f>
        <v>x</v>
      </c>
      <c r="I23" s="168">
        <f>IF(A6="","",O20)</f>
        <v>2.2000000000000002</v>
      </c>
      <c r="J23" s="168"/>
    </row>
    <row r="25" spans="1:22" x14ac:dyDescent="0.25">
      <c r="B25" s="20" t="s">
        <v>18</v>
      </c>
    </row>
    <row r="27" spans="1:22" x14ac:dyDescent="0.25">
      <c r="B27" s="90" t="s">
        <v>20</v>
      </c>
      <c r="C27" s="90"/>
      <c r="D27" s="114">
        <f>IF(A6="","",2.1)</f>
        <v>2.1</v>
      </c>
      <c r="E27" s="114"/>
      <c r="F27" s="169">
        <f>IF(A6="","",F23)</f>
        <v>1.1000000000000001</v>
      </c>
      <c r="G27" s="169"/>
      <c r="H27" s="91">
        <f>IF(A6="","",AC3)</f>
        <v>12</v>
      </c>
      <c r="I27" s="91"/>
      <c r="J27" s="163">
        <f>IF(A6="","",F23)</f>
        <v>1.1000000000000001</v>
      </c>
      <c r="K27" s="163"/>
      <c r="L27" s="164">
        <f>IF(A6="","",2.1*(F20*100)*POWER((((AC3*100)*F20)/(15000*SQRT(H2))),1/3))</f>
        <v>42.1440551387185</v>
      </c>
      <c r="M27" s="164"/>
      <c r="N27" s="164"/>
      <c r="O27" s="164"/>
      <c r="P27" s="165" t="str">
        <f>IF(A6="","","→")</f>
        <v>→</v>
      </c>
      <c r="Q27" s="170">
        <f>IF(A6="","",IF(L27&gt;60,MROUND(L27,5),60))</f>
        <v>60</v>
      </c>
      <c r="R27" s="170"/>
      <c r="S27" s="170"/>
      <c r="V27" s="17"/>
    </row>
    <row r="28" spans="1:22" x14ac:dyDescent="0.25">
      <c r="B28" s="90"/>
      <c r="C28" s="90"/>
      <c r="D28" s="114"/>
      <c r="E28" s="114"/>
      <c r="F28" s="169"/>
      <c r="G28" s="169"/>
      <c r="H28" s="161">
        <f>IF(A6="","",15000)</f>
        <v>15000</v>
      </c>
      <c r="I28" s="161"/>
      <c r="J28" s="162">
        <f>IF(A6="","",H2)</f>
        <v>210</v>
      </c>
      <c r="K28" s="162"/>
      <c r="L28" s="164"/>
      <c r="M28" s="164"/>
      <c r="N28" s="164"/>
      <c r="O28" s="164"/>
      <c r="P28" s="165"/>
      <c r="Q28" s="170"/>
      <c r="R28" s="170"/>
      <c r="S28" s="170"/>
    </row>
    <row r="29" spans="1:22" x14ac:dyDescent="0.25">
      <c r="B29" s="15"/>
    </row>
    <row r="30" spans="1:22" x14ac:dyDescent="0.25">
      <c r="B30" s="15"/>
    </row>
    <row r="31" spans="1:22" x14ac:dyDescent="0.25">
      <c r="A31" s="16" t="s">
        <v>63</v>
      </c>
    </row>
    <row r="33" spans="1:24" x14ac:dyDescent="0.25">
      <c r="B33" s="90" t="s">
        <v>21</v>
      </c>
      <c r="C33" s="90"/>
      <c r="D33" s="91">
        <f>IF(A6="","",1.25)</f>
        <v>1.25</v>
      </c>
      <c r="E33" s="91"/>
      <c r="F33" s="94">
        <f>IF(A6="","",O4*1000)</f>
        <v>79370</v>
      </c>
      <c r="G33" s="94"/>
      <c r="H33" s="95">
        <f>IF(A6="","",ROUND((1.25*(O4*1000))/(D34*H2),0))</f>
        <v>1890</v>
      </c>
      <c r="I33" s="95"/>
      <c r="J33" s="95"/>
      <c r="K33" s="95"/>
      <c r="L33" s="19"/>
      <c r="M33" s="19"/>
      <c r="N33" s="19"/>
      <c r="O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B34" s="90"/>
      <c r="C34" s="90"/>
      <c r="D34" s="92">
        <f>IF(A6="","",0.25)</f>
        <v>0.25</v>
      </c>
      <c r="E34" s="92"/>
      <c r="F34" s="93">
        <f>IF(A6="","",H2)</f>
        <v>210</v>
      </c>
      <c r="G34" s="93"/>
      <c r="H34" s="95"/>
      <c r="I34" s="95"/>
      <c r="J34" s="95"/>
      <c r="K34" s="95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6" spans="1:24" x14ac:dyDescent="0.25">
      <c r="B36" s="26" t="s">
        <v>22</v>
      </c>
      <c r="H36" s="103">
        <f>IF(A6="","",CEILING(SQRT(H33),5))</f>
        <v>45</v>
      </c>
      <c r="I36" s="103"/>
      <c r="J36" s="104">
        <f>IF(A6="","",CEILING(SQRT(H33),5))</f>
        <v>45</v>
      </c>
      <c r="K36" s="104"/>
      <c r="L36" s="27">
        <v>5</v>
      </c>
    </row>
    <row r="38" spans="1:24" x14ac:dyDescent="0.25">
      <c r="B38" s="26" t="s">
        <v>68</v>
      </c>
      <c r="O38" s="105">
        <f>IF(A6="","",H36-L36)</f>
        <v>40</v>
      </c>
      <c r="P38" s="105"/>
      <c r="Q38" s="106">
        <f>IF(A6="","",J36+L36)</f>
        <v>50</v>
      </c>
      <c r="R38" s="106"/>
    </row>
    <row r="41" spans="1:24" x14ac:dyDescent="0.25">
      <c r="A41" s="16" t="s">
        <v>69</v>
      </c>
      <c r="P41" s="28" t="s">
        <v>70</v>
      </c>
      <c r="Q41" s="107">
        <f>IF(A42="","",AJ3)</f>
        <v>0.5</v>
      </c>
      <c r="R41" s="107"/>
    </row>
    <row r="42" spans="1:24" x14ac:dyDescent="0.25">
      <c r="A42" s="50" t="str">
        <f>IF(C3="https://hebmerma.com/","HM","")</f>
        <v>HM</v>
      </c>
    </row>
    <row r="43" spans="1:24" x14ac:dyDescent="0.25">
      <c r="B43" s="90" t="s">
        <v>24</v>
      </c>
      <c r="C43" s="109">
        <f>IF(A42="","",Q27/100)</f>
        <v>0.6</v>
      </c>
      <c r="D43" s="109"/>
      <c r="E43" s="110">
        <f>IF(A42="","",ROUND((Q27/100)/(H4-(Q27/100)),2))</f>
        <v>0.15</v>
      </c>
      <c r="F43" s="110"/>
      <c r="G43" s="110"/>
    </row>
    <row r="44" spans="1:24" x14ac:dyDescent="0.25">
      <c r="B44" s="90"/>
      <c r="C44" s="108">
        <f>IF(A42="","",H4-Q27/100)</f>
        <v>3.9</v>
      </c>
      <c r="D44" s="108"/>
      <c r="E44" s="110"/>
      <c r="F44" s="110"/>
      <c r="G44" s="110"/>
    </row>
    <row r="45" spans="1:24" x14ac:dyDescent="0.25">
      <c r="C45" s="23"/>
    </row>
    <row r="46" spans="1:24" x14ac:dyDescent="0.25">
      <c r="C46" s="67">
        <f>IF(A42="","",15000*SQRT(H2))</f>
        <v>217370.65119284156</v>
      </c>
      <c r="D46" s="67"/>
      <c r="E46" s="67"/>
      <c r="F46" s="67" t="str">
        <f>IF(A42="","","*")</f>
        <v>*</v>
      </c>
      <c r="G46" s="29">
        <f>IF(A42="","",1)</f>
        <v>1</v>
      </c>
      <c r="H46" s="67" t="str">
        <f>IF(A42="","","*")</f>
        <v>*</v>
      </c>
      <c r="I46" s="122">
        <f>IF(A42="","",O38)</f>
        <v>40</v>
      </c>
      <c r="J46" s="122"/>
      <c r="K46" s="121">
        <f>IF(A42="","",Q38)</f>
        <v>50</v>
      </c>
      <c r="L46" s="121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4" x14ac:dyDescent="0.25">
      <c r="B47" s="124" t="s">
        <v>26</v>
      </c>
      <c r="C47" s="68"/>
      <c r="D47" s="68"/>
      <c r="E47" s="68"/>
      <c r="F47" s="68"/>
      <c r="G47" s="29">
        <f>IF(A42="","",12)</f>
        <v>12</v>
      </c>
      <c r="H47" s="68"/>
      <c r="I47" s="29"/>
      <c r="J47" s="123">
        <f>IF(A42="","",H4*100-Q27)</f>
        <v>390</v>
      </c>
      <c r="K47" s="123"/>
      <c r="L47" s="29"/>
      <c r="M47" s="79">
        <f>IF(A42="","",ROUNDUP(((15000*SQRT(H2))*((1/12)*(O38*Q38^3)))/((H4*100)-Q27)/(AC3*((1/12)*(O20*100)*(F20*100)^3)),2))</f>
        <v>0.8</v>
      </c>
      <c r="N47" s="79"/>
      <c r="O47" s="79"/>
      <c r="P47" s="19"/>
      <c r="Q47" s="19"/>
      <c r="S47" s="19"/>
      <c r="T47" s="19"/>
      <c r="U47" s="19"/>
      <c r="V47" s="19"/>
    </row>
    <row r="48" spans="1:24" x14ac:dyDescent="0.25">
      <c r="B48" s="124"/>
      <c r="C48" s="19"/>
      <c r="D48" s="71">
        <f>IF(A42="","",AC3)</f>
        <v>12</v>
      </c>
      <c r="E48" s="71" t="str">
        <f>IF(A42="","","* (")</f>
        <v>* (</v>
      </c>
      <c r="F48" s="30">
        <f>IF(A42="","",1)</f>
        <v>1</v>
      </c>
      <c r="G48" s="71" t="str">
        <f>IF(A42="","","*")</f>
        <v>*</v>
      </c>
      <c r="H48" s="75">
        <f>IF(A42="","",I23*100)</f>
        <v>220.00000000000003</v>
      </c>
      <c r="I48" s="73">
        <f>IF(A42="","",F23*100)</f>
        <v>110.00000000000001</v>
      </c>
      <c r="J48" s="73"/>
      <c r="K48" s="77" t="str">
        <f>IF(A42="","",")")</f>
        <v>)</v>
      </c>
      <c r="L48" s="19"/>
      <c r="M48" s="79"/>
      <c r="N48" s="79"/>
      <c r="O48" s="79"/>
      <c r="P48" s="19"/>
      <c r="Q48" s="19"/>
      <c r="R48" s="19"/>
      <c r="S48" s="19"/>
      <c r="T48" s="19"/>
      <c r="U48" s="19"/>
      <c r="V48" s="19"/>
    </row>
    <row r="49" spans="1:22" x14ac:dyDescent="0.25">
      <c r="C49" s="19"/>
      <c r="D49" s="72"/>
      <c r="E49" s="72"/>
      <c r="F49" s="19">
        <f>IF(A42="","",12)</f>
        <v>12</v>
      </c>
      <c r="G49" s="72"/>
      <c r="H49" s="76"/>
      <c r="I49" s="74"/>
      <c r="J49" s="74"/>
      <c r="K49" s="7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x14ac:dyDescent="0.25">
      <c r="B51" s="90" t="s">
        <v>27</v>
      </c>
      <c r="C51" s="80">
        <f>IF(A42="","",F23)</f>
        <v>1.1000000000000001</v>
      </c>
      <c r="D51" s="80"/>
      <c r="E51" s="81">
        <f>IF(A42="","",Q38/100)</f>
        <v>0.5</v>
      </c>
      <c r="F51" s="81"/>
      <c r="G51" s="89">
        <f>IF(A42="","",(F20-(Q38/100))/2)</f>
        <v>0.30000000000000004</v>
      </c>
      <c r="H51" s="89"/>
      <c r="I51" s="89"/>
    </row>
    <row r="52" spans="1:22" x14ac:dyDescent="0.25">
      <c r="B52" s="90"/>
      <c r="D52" s="82">
        <f>IF(A42="","",2)</f>
        <v>2</v>
      </c>
      <c r="E52" s="82"/>
      <c r="G52" s="89"/>
      <c r="H52" s="89"/>
      <c r="I52" s="89"/>
    </row>
    <row r="54" spans="1:22" x14ac:dyDescent="0.25">
      <c r="B54" s="124" t="s">
        <v>28</v>
      </c>
      <c r="C54" s="80">
        <f>IF(A42="","",G51)</f>
        <v>0.30000000000000004</v>
      </c>
      <c r="D54" s="80"/>
      <c r="E54" s="89">
        <f>IF(A42="","",G51/F20)</f>
        <v>0.27272727272727276</v>
      </c>
      <c r="F54" s="89"/>
      <c r="G54" s="89"/>
    </row>
    <row r="55" spans="1:22" x14ac:dyDescent="0.25">
      <c r="B55" s="124"/>
      <c r="C55" s="108">
        <f>IF(A42="","",F23)</f>
        <v>1.1000000000000001</v>
      </c>
      <c r="D55" s="108"/>
      <c r="E55" s="89"/>
      <c r="F55" s="89"/>
      <c r="G55" s="89"/>
    </row>
    <row r="57" spans="1:22" x14ac:dyDescent="0.25">
      <c r="B57" s="124" t="s">
        <v>23</v>
      </c>
      <c r="C57" s="114">
        <f>IF(A42="","",12)</f>
        <v>12</v>
      </c>
      <c r="D57" s="114"/>
      <c r="E57" s="114">
        <f>IF(A42="","",Q41)</f>
        <v>0.5</v>
      </c>
      <c r="F57" s="114"/>
      <c r="G57" s="172">
        <f>IF(A42="","",E54)</f>
        <v>0.27272727272727276</v>
      </c>
      <c r="H57" s="172"/>
      <c r="I57" s="88">
        <f>IF(A42="","",O4)</f>
        <v>79.37</v>
      </c>
      <c r="J57" s="88"/>
      <c r="K57" s="125">
        <f>IF(A42="","",12*Q41*E54*(O4/(F20*O20)))</f>
        <v>53.668670172802415</v>
      </c>
      <c r="L57" s="125"/>
      <c r="M57" s="125"/>
      <c r="N57" s="125"/>
      <c r="O57" s="86">
        <f>IF(A42="","",10)</f>
        <v>10</v>
      </c>
      <c r="P57" s="86"/>
      <c r="Q57" s="86"/>
    </row>
    <row r="58" spans="1:22" x14ac:dyDescent="0.25">
      <c r="B58" s="124"/>
      <c r="C58" s="114"/>
      <c r="D58" s="114"/>
      <c r="E58" s="114"/>
      <c r="F58" s="114"/>
      <c r="G58" s="172"/>
      <c r="H58" s="172"/>
      <c r="I58" s="60">
        <f>IF(A42="","",F23*I23)</f>
        <v>2.4200000000000004</v>
      </c>
      <c r="J58" s="60"/>
      <c r="K58" s="125"/>
      <c r="L58" s="125"/>
      <c r="M58" s="125"/>
      <c r="N58" s="125"/>
      <c r="O58" s="86"/>
      <c r="P58" s="86"/>
      <c r="Q58" s="86"/>
      <c r="R58" s="31"/>
    </row>
    <row r="60" spans="1:22" x14ac:dyDescent="0.25">
      <c r="C60" s="15" t="str">
        <f>IF(A42="","","→")</f>
        <v>→</v>
      </c>
      <c r="D60" s="126">
        <f>IF(A42="","",K57)</f>
        <v>53.668670172802415</v>
      </c>
      <c r="E60" s="126"/>
      <c r="F60" s="126"/>
      <c r="G60" s="87">
        <f>IF(A42="","",O57)</f>
        <v>10</v>
      </c>
      <c r="H60" s="87"/>
      <c r="I60" s="87"/>
      <c r="J60" s="31" t="str">
        <f>IF(A42="","",IF(K57&gt;O57,"No se considera presiones uniformes","Si se considera prsiones uniformes"))</f>
        <v>No se considera presiones uniformes</v>
      </c>
    </row>
    <row r="62" spans="1:22" x14ac:dyDescent="0.25">
      <c r="A62" s="50" t="str">
        <f>IF(C3="https://hebmerma.com/","HM","")</f>
        <v>HM</v>
      </c>
      <c r="B62" s="14" t="s">
        <v>71</v>
      </c>
    </row>
    <row r="63" spans="1:22" x14ac:dyDescent="0.25">
      <c r="B63" s="14"/>
    </row>
    <row r="64" spans="1:22" x14ac:dyDescent="0.25">
      <c r="B64" s="15"/>
      <c r="C64" s="32" t="s">
        <v>29</v>
      </c>
      <c r="D64" s="171">
        <f>IF(A62="","",AJ4)</f>
        <v>0.65</v>
      </c>
      <c r="E64" s="171"/>
    </row>
    <row r="66" spans="2:31" x14ac:dyDescent="0.25">
      <c r="B66" s="90" t="s">
        <v>24</v>
      </c>
      <c r="C66" s="109">
        <f>IF(A62="","",Q27/100)</f>
        <v>0.6</v>
      </c>
      <c r="D66" s="109"/>
      <c r="E66" s="110">
        <f>IF(A62="","",ROUND((Q27/100)/(H4-(Q27/100)),2))</f>
        <v>0.15</v>
      </c>
      <c r="F66" s="110"/>
      <c r="G66" s="110"/>
    </row>
    <row r="67" spans="2:31" x14ac:dyDescent="0.25">
      <c r="B67" s="90"/>
      <c r="C67" s="108">
        <f>IF(A62="","",C44)</f>
        <v>3.9</v>
      </c>
      <c r="D67" s="108"/>
      <c r="E67" s="110"/>
      <c r="F67" s="110"/>
      <c r="G67" s="110"/>
      <c r="AA67" s="17"/>
    </row>
    <row r="68" spans="2:31" x14ac:dyDescent="0.25">
      <c r="C68" s="23"/>
      <c r="AA68" s="17"/>
    </row>
    <row r="69" spans="2:31" x14ac:dyDescent="0.25">
      <c r="C69" s="67">
        <f>IF(A62="","",15000*SQRT(H2))</f>
        <v>217370.65119284156</v>
      </c>
      <c r="D69" s="67"/>
      <c r="E69" s="67"/>
      <c r="F69" s="67" t="str">
        <f>IF(A62="","","*")</f>
        <v>*</v>
      </c>
      <c r="G69" s="29">
        <f>IF(A62="","",1)</f>
        <v>1</v>
      </c>
      <c r="H69" s="67" t="str">
        <f>IF(A62="","","*")</f>
        <v>*</v>
      </c>
      <c r="I69" s="122">
        <f>IF(A62="","",O38)</f>
        <v>40</v>
      </c>
      <c r="J69" s="122"/>
      <c r="K69" s="152">
        <f>IF(A62="","",D64)</f>
        <v>0.65</v>
      </c>
      <c r="L69" s="152"/>
      <c r="M69" s="19"/>
      <c r="N69" s="19"/>
      <c r="O69" s="19"/>
      <c r="P69" s="19"/>
      <c r="Q69" s="19"/>
      <c r="R69" s="19"/>
      <c r="S69" s="19"/>
      <c r="T69" s="19"/>
      <c r="U69" s="19"/>
      <c r="V69" s="19"/>
      <c r="AA69" s="28"/>
    </row>
    <row r="70" spans="2:31" x14ac:dyDescent="0.25">
      <c r="B70" s="124" t="s">
        <v>26</v>
      </c>
      <c r="C70" s="68"/>
      <c r="D70" s="68"/>
      <c r="E70" s="68"/>
      <c r="F70" s="68"/>
      <c r="G70" s="29">
        <f>IF(A62="","",12)</f>
        <v>12</v>
      </c>
      <c r="H70" s="68"/>
      <c r="I70" s="29"/>
      <c r="J70" s="123">
        <f>IF(A62="","",C67*100)</f>
        <v>390</v>
      </c>
      <c r="K70" s="123"/>
      <c r="L70" s="29"/>
      <c r="M70" s="79">
        <f>IF(A62="","",ROUNDUP(((15000*SQRT(H2))*((1/12)*(O38*(D64*100)^3)))/((H4*100)-Q27)/(AC3*((1/12)*(O20*100)*(F20*100)^3)),2))</f>
        <v>1.75</v>
      </c>
      <c r="N70" s="79"/>
      <c r="O70" s="79"/>
      <c r="P70" s="19"/>
      <c r="Q70" s="19"/>
      <c r="S70" s="19"/>
      <c r="T70" s="19"/>
      <c r="U70" s="19"/>
      <c r="V70" s="19"/>
      <c r="AA70" s="17"/>
    </row>
    <row r="71" spans="2:31" x14ac:dyDescent="0.25">
      <c r="B71" s="124"/>
      <c r="C71" s="19"/>
      <c r="D71" s="71">
        <f>IF(A62="","",AC3)</f>
        <v>12</v>
      </c>
      <c r="E71" s="71" t="str">
        <f>IF(A62="","","* (")</f>
        <v>* (</v>
      </c>
      <c r="F71" s="30">
        <f>IF(A62="","",1)</f>
        <v>1</v>
      </c>
      <c r="G71" s="71" t="str">
        <f>IF(A62="","","*")</f>
        <v>*</v>
      </c>
      <c r="H71" s="75">
        <f>IF(A62="","",I23*100)</f>
        <v>220.00000000000003</v>
      </c>
      <c r="I71" s="73">
        <f>IF(A62="","",F23*100)</f>
        <v>110.00000000000001</v>
      </c>
      <c r="J71" s="73"/>
      <c r="K71" s="77" t="str">
        <f>IF(A62="","",")")</f>
        <v>)</v>
      </c>
      <c r="L71" s="19"/>
      <c r="M71" s="79"/>
      <c r="N71" s="79"/>
      <c r="O71" s="79"/>
      <c r="P71" s="19"/>
      <c r="Q71" s="19"/>
      <c r="R71" s="19"/>
      <c r="S71" s="19"/>
      <c r="T71" s="19"/>
      <c r="U71" s="19"/>
      <c r="V71" s="19"/>
    </row>
    <row r="72" spans="2:31" x14ac:dyDescent="0.25">
      <c r="C72" s="19"/>
      <c r="D72" s="72"/>
      <c r="E72" s="72"/>
      <c r="F72" s="19">
        <f>IF(A62="","",12)</f>
        <v>12</v>
      </c>
      <c r="G72" s="72"/>
      <c r="H72" s="76"/>
      <c r="I72" s="74"/>
      <c r="J72" s="74"/>
      <c r="K72" s="7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AA72" s="17"/>
    </row>
    <row r="73" spans="2:31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AA73" s="17"/>
    </row>
    <row r="74" spans="2:31" x14ac:dyDescent="0.25">
      <c r="B74" s="21" t="s">
        <v>72</v>
      </c>
      <c r="G74" s="19"/>
      <c r="H74" s="19"/>
      <c r="I74" s="19"/>
      <c r="K74" s="19"/>
      <c r="M74" s="107">
        <f>IF(A62="","",AJ5)</f>
        <v>0.05</v>
      </c>
      <c r="N74" s="107"/>
      <c r="O74" s="19"/>
      <c r="P74" s="19"/>
      <c r="Q74" s="19"/>
      <c r="R74" s="19"/>
      <c r="S74" s="19"/>
      <c r="T74" s="19"/>
      <c r="U74" s="19"/>
      <c r="V74" s="19"/>
      <c r="AA74" s="17"/>
      <c r="AB74" s="33"/>
    </row>
    <row r="75" spans="2:31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AA75" s="17"/>
      <c r="AB75" s="33"/>
    </row>
    <row r="76" spans="2:31" x14ac:dyDescent="0.25">
      <c r="B76" s="90" t="s">
        <v>27</v>
      </c>
      <c r="C76" s="80">
        <f>IF(A62="","",F23)</f>
        <v>1.1000000000000001</v>
      </c>
      <c r="D76" s="80"/>
      <c r="E76" s="81">
        <f>IF(A62="","",D64)</f>
        <v>0.65</v>
      </c>
      <c r="F76" s="81"/>
      <c r="G76" s="89">
        <f>IF(A62="","",(F20-(D64))/2)</f>
        <v>0.22500000000000003</v>
      </c>
      <c r="H76" s="89"/>
      <c r="I76" s="89"/>
      <c r="AA76" s="17"/>
    </row>
    <row r="77" spans="2:31" x14ac:dyDescent="0.25">
      <c r="B77" s="90"/>
      <c r="D77" s="82">
        <f>IF(A62="","",2)</f>
        <v>2</v>
      </c>
      <c r="E77" s="82"/>
      <c r="G77" s="89"/>
      <c r="H77" s="89"/>
      <c r="I77" s="89"/>
      <c r="AA77" s="28"/>
    </row>
    <row r="78" spans="2:31" x14ac:dyDescent="0.25">
      <c r="AA78" s="17"/>
    </row>
    <row r="79" spans="2:31" x14ac:dyDescent="0.25">
      <c r="B79" s="124" t="s">
        <v>28</v>
      </c>
      <c r="C79" s="80">
        <f>IF(A62="","",G76)</f>
        <v>0.22500000000000003</v>
      </c>
      <c r="D79" s="80"/>
      <c r="E79" s="89">
        <f>IF(A62="","",G76/F20)</f>
        <v>0.20454545454545456</v>
      </c>
      <c r="F79" s="89"/>
      <c r="G79" s="89"/>
      <c r="AA79" s="17"/>
    </row>
    <row r="80" spans="2:31" x14ac:dyDescent="0.25">
      <c r="B80" s="124"/>
      <c r="C80" s="108">
        <f>IF(A62="","",F23)</f>
        <v>1.1000000000000001</v>
      </c>
      <c r="D80" s="108"/>
      <c r="E80" s="89"/>
      <c r="F80" s="89"/>
      <c r="G80" s="89"/>
      <c r="AA80" s="17"/>
      <c r="AB80" s="34"/>
      <c r="AC80" s="35"/>
      <c r="AE80" s="36"/>
    </row>
    <row r="81" spans="1:31" x14ac:dyDescent="0.25">
      <c r="AA81" s="17"/>
      <c r="AB81" s="34"/>
      <c r="AC81" s="35"/>
      <c r="AE81" s="36"/>
    </row>
    <row r="82" spans="1:31" x14ac:dyDescent="0.25">
      <c r="B82" s="124" t="s">
        <v>23</v>
      </c>
      <c r="C82" s="114">
        <f>IF(A62="","",12)</f>
        <v>12</v>
      </c>
      <c r="D82" s="114"/>
      <c r="E82" s="114">
        <f>IF(A62="","",M74)</f>
        <v>0.05</v>
      </c>
      <c r="F82" s="114"/>
      <c r="G82" s="172">
        <f>IF(A62="","",E79)</f>
        <v>0.20454545454545456</v>
      </c>
      <c r="H82" s="172"/>
      <c r="I82" s="88">
        <f>IF(A62="","",O4)</f>
        <v>79.37</v>
      </c>
      <c r="J82" s="88"/>
      <c r="K82" s="150">
        <f>IF(A62="","",12*M74*E79*(O4/(F20*O20)))</f>
        <v>4.0251502629601807</v>
      </c>
      <c r="L82" s="150"/>
      <c r="M82" s="150"/>
      <c r="N82" s="150"/>
      <c r="O82" s="151">
        <f>IF(A62="","",10)</f>
        <v>10</v>
      </c>
      <c r="P82" s="151"/>
      <c r="Q82" s="151"/>
      <c r="AA82" s="17"/>
      <c r="AB82" s="34"/>
      <c r="AC82" s="35"/>
      <c r="AE82" s="36"/>
    </row>
    <row r="83" spans="1:31" x14ac:dyDescent="0.25">
      <c r="B83" s="124"/>
      <c r="C83" s="114"/>
      <c r="D83" s="114"/>
      <c r="E83" s="114"/>
      <c r="F83" s="114"/>
      <c r="G83" s="172"/>
      <c r="H83" s="172"/>
      <c r="I83" s="60">
        <f>IF(A62="","",F23*I23)</f>
        <v>2.4200000000000004</v>
      </c>
      <c r="J83" s="60"/>
      <c r="K83" s="150"/>
      <c r="L83" s="150"/>
      <c r="M83" s="150"/>
      <c r="N83" s="150"/>
      <c r="O83" s="151"/>
      <c r="P83" s="151"/>
      <c r="Q83" s="151"/>
      <c r="R83" s="31"/>
      <c r="AA83" s="17"/>
      <c r="AB83" s="34"/>
      <c r="AC83" s="35"/>
      <c r="AE83" s="36"/>
    </row>
    <row r="84" spans="1:31" x14ac:dyDescent="0.25">
      <c r="AA84" s="17"/>
      <c r="AB84" s="34"/>
      <c r="AC84" s="35"/>
      <c r="AE84" s="36"/>
    </row>
    <row r="85" spans="1:31" x14ac:dyDescent="0.25">
      <c r="C85" s="15" t="str">
        <f>IF(A62="","","→")</f>
        <v>→</v>
      </c>
      <c r="D85" s="126">
        <f>IF(A62="","",K82)</f>
        <v>4.0251502629601807</v>
      </c>
      <c r="E85" s="126"/>
      <c r="F85" s="126"/>
      <c r="G85" s="149">
        <f>IF(A62="","",O82)</f>
        <v>10</v>
      </c>
      <c r="H85" s="149"/>
      <c r="I85" s="149"/>
      <c r="J85" s="36" t="str">
        <f>IF(K82&gt;O82,"No se considera presiones uniformes","Si se considera presiones uniformes")</f>
        <v>Si se considera presiones uniformes</v>
      </c>
      <c r="AA85" s="17"/>
      <c r="AB85" s="34"/>
      <c r="AC85" s="35"/>
      <c r="AE85" s="36"/>
    </row>
    <row r="86" spans="1:31" x14ac:dyDescent="0.25">
      <c r="AA86" s="17"/>
    </row>
    <row r="87" spans="1:31" x14ac:dyDescent="0.25">
      <c r="A87" s="16" t="s">
        <v>30</v>
      </c>
    </row>
    <row r="89" spans="1:31" x14ac:dyDescent="0.25">
      <c r="A89" s="50">
        <f>IF(C3="https://hebmerma.com/",1,"")</f>
        <v>1</v>
      </c>
      <c r="B89" s="37" t="s">
        <v>56</v>
      </c>
    </row>
    <row r="91" spans="1:31" x14ac:dyDescent="0.25">
      <c r="B91" s="32" t="s">
        <v>31</v>
      </c>
      <c r="C91" s="115">
        <f>IF(A89="","",O2)</f>
        <v>58.37</v>
      </c>
      <c r="D91" s="115"/>
      <c r="E91" s="115"/>
      <c r="F91" s="19" t="str">
        <f>IF(A89="","","+")</f>
        <v>+</v>
      </c>
      <c r="G91" s="116">
        <f>IF(A89="","",O3)</f>
        <v>21</v>
      </c>
      <c r="H91" s="116"/>
      <c r="I91" s="116"/>
      <c r="J91" s="19" t="str">
        <f>IF(A89="","","=")</f>
        <v>=</v>
      </c>
      <c r="K91" s="117">
        <f>IF(A89="","",ROUND(1.4*O2+1.7*O3,2))</f>
        <v>117.42</v>
      </c>
      <c r="L91" s="117"/>
      <c r="M91" s="117"/>
    </row>
    <row r="93" spans="1:31" x14ac:dyDescent="0.25">
      <c r="B93" s="113" t="s">
        <v>57</v>
      </c>
      <c r="C93" s="113"/>
      <c r="D93" s="118">
        <f>IF(A89="","",K91)</f>
        <v>117.42</v>
      </c>
      <c r="E93" s="118"/>
      <c r="F93" s="118"/>
      <c r="G93" s="120">
        <f>IF(A89="","",ROUND(K91/F20,2))</f>
        <v>106.75</v>
      </c>
      <c r="H93" s="120"/>
      <c r="I93" s="120"/>
      <c r="J93" s="120"/>
    </row>
    <row r="94" spans="1:31" x14ac:dyDescent="0.25">
      <c r="B94" s="113"/>
      <c r="C94" s="113"/>
      <c r="D94" s="119">
        <f>IF(A89="","",F20)</f>
        <v>1.1000000000000001</v>
      </c>
      <c r="E94" s="119"/>
      <c r="F94" s="119"/>
      <c r="G94" s="120"/>
      <c r="H94" s="120"/>
      <c r="I94" s="120"/>
      <c r="J94" s="120"/>
    </row>
    <row r="96" spans="1:31" x14ac:dyDescent="0.25">
      <c r="B96" s="113" t="s">
        <v>32</v>
      </c>
      <c r="C96" s="113"/>
      <c r="D96" s="114">
        <f>IF(A89="","",G93)</f>
        <v>106.75</v>
      </c>
      <c r="E96" s="114"/>
      <c r="F96" s="114"/>
      <c r="G96" s="111">
        <f>IF(A89="","",D94-D64)</f>
        <v>0.45000000000000007</v>
      </c>
      <c r="H96" s="111"/>
      <c r="I96" s="112">
        <f>IF(A89="","",D96*(G96^2/G97))</f>
        <v>10.808437500000004</v>
      </c>
      <c r="J96" s="112"/>
      <c r="K96" s="112"/>
      <c r="L96" s="112"/>
    </row>
    <row r="97" spans="2:45" x14ac:dyDescent="0.25">
      <c r="B97" s="113"/>
      <c r="C97" s="113"/>
      <c r="D97" s="114"/>
      <c r="E97" s="114"/>
      <c r="F97" s="114"/>
      <c r="G97" s="60">
        <f>IF(A89="","",2)</f>
        <v>2</v>
      </c>
      <c r="H97" s="60"/>
      <c r="I97" s="112"/>
      <c r="J97" s="112"/>
      <c r="K97" s="112"/>
      <c r="L97" s="112"/>
    </row>
    <row r="99" spans="2:45" x14ac:dyDescent="0.25">
      <c r="B99" s="38" t="s">
        <v>33</v>
      </c>
      <c r="H99" s="17" t="s">
        <v>35</v>
      </c>
      <c r="I99" s="96" t="str">
        <f>IF(A89="","",AS2)</f>
        <v>Ø 3/4"</v>
      </c>
      <c r="J99" s="96"/>
      <c r="K99" s="97">
        <f>IF(A89="","",VLOOKUP(I99,AN108:AS117,3,FALSE))</f>
        <v>1.905</v>
      </c>
      <c r="L99" s="97"/>
    </row>
    <row r="101" spans="2:45" x14ac:dyDescent="0.25">
      <c r="B101" s="127" t="s">
        <v>34</v>
      </c>
      <c r="C101" s="128">
        <f>IF(A89="","",Q27)</f>
        <v>60</v>
      </c>
      <c r="D101" s="128"/>
      <c r="E101" s="129">
        <f>IF(A89="","",7.5)</f>
        <v>7.5</v>
      </c>
      <c r="F101" s="129"/>
      <c r="G101" s="88">
        <f>IF(A89="","",K99)</f>
        <v>1.905</v>
      </c>
      <c r="H101" s="88"/>
      <c r="I101" s="72" t="str">
        <f>IF(A89="","",") =")</f>
        <v>) =</v>
      </c>
      <c r="J101" s="83">
        <f>IF(A89="","",MROUND(C101-(E101+(G101/G102)),0.05))</f>
        <v>51.550000000000004</v>
      </c>
      <c r="K101" s="83"/>
      <c r="L101" s="83"/>
    </row>
    <row r="102" spans="2:45" x14ac:dyDescent="0.25">
      <c r="B102" s="127"/>
      <c r="C102" s="128"/>
      <c r="D102" s="128"/>
      <c r="E102" s="129"/>
      <c r="F102" s="129"/>
      <c r="G102" s="82">
        <f>IF(A89="","",2)</f>
        <v>2</v>
      </c>
      <c r="H102" s="82"/>
      <c r="I102" s="72"/>
      <c r="J102" s="83"/>
      <c r="K102" s="83"/>
      <c r="L102" s="83"/>
    </row>
    <row r="104" spans="2:45" x14ac:dyDescent="0.25">
      <c r="B104" s="127" t="s">
        <v>48</v>
      </c>
      <c r="C104" s="85">
        <f>IF(A89="","",0.85)</f>
        <v>0.85</v>
      </c>
      <c r="D104" s="85"/>
      <c r="E104" s="84">
        <f>IF(A89="","",0.7225)</f>
        <v>0.72250000000000003</v>
      </c>
      <c r="F104" s="84"/>
      <c r="G104" s="84"/>
      <c r="H104" s="39"/>
      <c r="I104" s="100">
        <f>IF(A89="","",1.7)</f>
        <v>1.7</v>
      </c>
      <c r="J104" s="100"/>
      <c r="K104" s="140">
        <f>IF(A89="","",I96*10^5)</f>
        <v>1080843.7500000005</v>
      </c>
      <c r="L104" s="140"/>
      <c r="M104" s="140"/>
      <c r="N104" s="39"/>
      <c r="O104" s="39"/>
      <c r="P104" s="101">
        <f>IF(A89="","",ROUNDUP(C104-SQRT(E104-((I104*K104)/(H105*J105*L105*N105^2))),4))</f>
        <v>1.0499999999999999E-2</v>
      </c>
      <c r="Q104" s="101"/>
      <c r="R104" s="101"/>
    </row>
    <row r="105" spans="2:45" x14ac:dyDescent="0.25">
      <c r="B105" s="127"/>
      <c r="C105" s="85"/>
      <c r="D105" s="85"/>
      <c r="E105" s="84"/>
      <c r="F105" s="84"/>
      <c r="G105" s="84"/>
      <c r="H105" s="92">
        <f>IF(A89="","",0.85)</f>
        <v>0.85</v>
      </c>
      <c r="I105" s="92"/>
      <c r="J105" s="102">
        <f>IF(A89="","",H2)</f>
        <v>210</v>
      </c>
      <c r="K105" s="102"/>
      <c r="L105" s="102">
        <f>IF(A89="","",O20*100)</f>
        <v>220.00000000000003</v>
      </c>
      <c r="M105" s="102"/>
      <c r="N105" s="139">
        <f>IF(A89="","",J101)</f>
        <v>51.550000000000004</v>
      </c>
      <c r="O105" s="139"/>
      <c r="P105" s="101"/>
      <c r="Q105" s="101"/>
      <c r="R105" s="101"/>
    </row>
    <row r="107" spans="2:45" x14ac:dyDescent="0.25">
      <c r="B107" s="113" t="s">
        <v>49</v>
      </c>
      <c r="C107" s="131">
        <f>IF(A89="","",P104)</f>
        <v>1.0499999999999999E-2</v>
      </c>
      <c r="D107" s="131"/>
      <c r="E107" s="131"/>
      <c r="F107" s="88">
        <f>IF(A89="","",H2)</f>
        <v>210</v>
      </c>
      <c r="G107" s="88"/>
      <c r="H107" s="101">
        <f>IF(A89="","",ROUNDUP(C107*(F107/F108),4))</f>
        <v>6.0000000000000006E-4</v>
      </c>
      <c r="I107" s="101"/>
      <c r="J107" s="101"/>
    </row>
    <row r="108" spans="2:45" x14ac:dyDescent="0.25">
      <c r="B108" s="113"/>
      <c r="C108" s="131"/>
      <c r="D108" s="131"/>
      <c r="E108" s="131"/>
      <c r="F108" s="60">
        <f>IF(A89="","",H3)</f>
        <v>4200</v>
      </c>
      <c r="G108" s="60"/>
      <c r="H108" s="101"/>
      <c r="I108" s="101"/>
      <c r="J108" s="101"/>
      <c r="AN108" s="98" t="s">
        <v>36</v>
      </c>
      <c r="AO108" s="98"/>
      <c r="AP108" s="98" t="s">
        <v>47</v>
      </c>
      <c r="AQ108" s="98"/>
      <c r="AR108" s="98" t="s">
        <v>37</v>
      </c>
      <c r="AS108" s="98"/>
    </row>
    <row r="109" spans="2:45" x14ac:dyDescent="0.25">
      <c r="AN109" s="1" t="s">
        <v>38</v>
      </c>
      <c r="AO109" s="1"/>
      <c r="AP109" s="99">
        <v>0.63200000000000001</v>
      </c>
      <c r="AQ109" s="99"/>
      <c r="AR109" s="70">
        <v>0.32</v>
      </c>
      <c r="AS109" s="70"/>
    </row>
    <row r="110" spans="2:45" x14ac:dyDescent="0.25">
      <c r="B110" s="40" t="s">
        <v>50</v>
      </c>
      <c r="C110" s="135">
        <f>IF(A89="","",H107)</f>
        <v>6.0000000000000006E-4</v>
      </c>
      <c r="D110" s="135"/>
      <c r="E110" s="135"/>
      <c r="F110" s="102">
        <f>IF(A89="","",L105)</f>
        <v>220.00000000000003</v>
      </c>
      <c r="G110" s="102"/>
      <c r="H110" s="60">
        <f>IF(A89="","",J101)</f>
        <v>51.550000000000004</v>
      </c>
      <c r="I110" s="60"/>
      <c r="J110" s="138">
        <f>IF(A89="","",ROUND(C110*F110*H110,2))</f>
        <v>6.8</v>
      </c>
      <c r="K110" s="138"/>
      <c r="L110" s="138"/>
      <c r="AN110" s="2" t="s">
        <v>39</v>
      </c>
      <c r="AO110" s="2"/>
      <c r="AP110" s="69">
        <v>0.95199999999999996</v>
      </c>
      <c r="AQ110" s="69"/>
      <c r="AR110" s="70">
        <v>0.71</v>
      </c>
      <c r="AS110" s="70"/>
    </row>
    <row r="111" spans="2:45" x14ac:dyDescent="0.25">
      <c r="B111" s="41"/>
      <c r="AN111" s="2" t="s">
        <v>40</v>
      </c>
      <c r="AO111" s="2"/>
      <c r="AP111" s="69">
        <v>1.27</v>
      </c>
      <c r="AQ111" s="69"/>
      <c r="AR111" s="70">
        <v>1.29</v>
      </c>
      <c r="AS111" s="70"/>
    </row>
    <row r="112" spans="2:45" x14ac:dyDescent="0.25">
      <c r="C112" s="40" t="s">
        <v>51</v>
      </c>
      <c r="D112" s="60">
        <f>IF(A89="","",0.0018)</f>
        <v>1.8E-3</v>
      </c>
      <c r="E112" s="60"/>
      <c r="F112" s="60"/>
      <c r="G112" s="132">
        <f>IF(A89="","",L105)</f>
        <v>220.00000000000003</v>
      </c>
      <c r="H112" s="132"/>
      <c r="I112" s="133">
        <f>IF(A89="","",Q27)</f>
        <v>60</v>
      </c>
      <c r="J112" s="133"/>
      <c r="K112" s="134">
        <f>IF(A89="","",D112*G112*I112)</f>
        <v>23.76</v>
      </c>
      <c r="L112" s="134"/>
      <c r="M112" s="134"/>
      <c r="N112" s="36" t="str">
        <f>IF(A89="","",IF(K112&gt;J110,"...cumple!","...no cumple!"))</f>
        <v>...cumple!</v>
      </c>
      <c r="AN112" s="2" t="s">
        <v>41</v>
      </c>
      <c r="AO112" s="2"/>
      <c r="AP112" s="69">
        <v>1.5880000000000001</v>
      </c>
      <c r="AQ112" s="69"/>
      <c r="AR112" s="70">
        <v>2</v>
      </c>
      <c r="AS112" s="70"/>
    </row>
    <row r="113" spans="1:50" x14ac:dyDescent="0.25">
      <c r="B113" s="46"/>
      <c r="C113" s="48"/>
      <c r="D113" s="48"/>
      <c r="E113" s="48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AN113" s="2" t="s">
        <v>42</v>
      </c>
      <c r="AO113" s="2"/>
      <c r="AP113" s="69">
        <v>1.905</v>
      </c>
      <c r="AQ113" s="69"/>
      <c r="AR113" s="70">
        <v>2.84</v>
      </c>
      <c r="AS113" s="70"/>
      <c r="AW113" s="60"/>
      <c r="AX113" s="60"/>
    </row>
    <row r="114" spans="1:50" x14ac:dyDescent="0.25">
      <c r="C114" s="32" t="s">
        <v>52</v>
      </c>
      <c r="D114" s="134">
        <f>IF(A89="","",IF(N112="...cumple!",K112,""))</f>
        <v>23.76</v>
      </c>
      <c r="E114" s="134"/>
      <c r="F114" s="134"/>
      <c r="AN114" s="2" t="s">
        <v>43</v>
      </c>
      <c r="AO114" s="2"/>
      <c r="AP114" s="69">
        <v>2.54</v>
      </c>
      <c r="AQ114" s="69"/>
      <c r="AR114" s="70">
        <v>5.0999999999999996</v>
      </c>
      <c r="AS114" s="70"/>
    </row>
    <row r="115" spans="1:50" x14ac:dyDescent="0.25">
      <c r="AN115" s="2" t="s">
        <v>44</v>
      </c>
      <c r="AO115" s="2"/>
      <c r="AP115" s="69">
        <v>2.8650000000000002</v>
      </c>
      <c r="AQ115" s="69"/>
      <c r="AR115" s="70">
        <v>6.45</v>
      </c>
      <c r="AS115" s="70"/>
    </row>
    <row r="116" spans="1:50" x14ac:dyDescent="0.25">
      <c r="B116" s="14" t="s">
        <v>53</v>
      </c>
      <c r="F116" s="136">
        <f>IF(A89="","",D114)</f>
        <v>23.76</v>
      </c>
      <c r="G116" s="136"/>
      <c r="H116" s="136"/>
      <c r="I116" s="72" t="str">
        <f>IF(A89="","","=")</f>
        <v>=</v>
      </c>
      <c r="J116" s="72">
        <f>IF(A89="","",ROUNDUP(F116/F117,0))</f>
        <v>12</v>
      </c>
      <c r="K116" s="78" t="str">
        <f>IF(A89="","",C117)</f>
        <v>Ø 5/8"</v>
      </c>
      <c r="L116" s="78"/>
      <c r="AN116" s="2" t="s">
        <v>45</v>
      </c>
      <c r="AO116" s="2"/>
      <c r="AP116" s="69">
        <v>3.226</v>
      </c>
      <c r="AQ116" s="69"/>
      <c r="AR116" s="70">
        <v>8.19</v>
      </c>
      <c r="AS116" s="70"/>
    </row>
    <row r="117" spans="1:50" x14ac:dyDescent="0.25">
      <c r="C117" s="137" t="str">
        <f>IF(A89="","",AS4)</f>
        <v>Ø 5/8"</v>
      </c>
      <c r="D117" s="137"/>
      <c r="F117" s="82">
        <f>IF(A89="","",VLOOKUP(C117,AN108:AS117,5,FALSE))</f>
        <v>2</v>
      </c>
      <c r="G117" s="82"/>
      <c r="H117" s="82"/>
      <c r="I117" s="72"/>
      <c r="J117" s="72"/>
      <c r="K117" s="78"/>
      <c r="L117" s="78"/>
      <c r="AN117" s="2" t="s">
        <v>46</v>
      </c>
      <c r="AO117" s="2"/>
      <c r="AP117" s="69">
        <v>3.58</v>
      </c>
      <c r="AQ117" s="69"/>
      <c r="AR117" s="70">
        <v>10.07</v>
      </c>
      <c r="AS117" s="70"/>
    </row>
    <row r="119" spans="1:50" x14ac:dyDescent="0.25">
      <c r="B119" s="127" t="s">
        <v>54</v>
      </c>
      <c r="C119" s="127"/>
      <c r="D119" s="143">
        <f>IF(A89="","",L105)</f>
        <v>220.00000000000003</v>
      </c>
      <c r="E119" s="143"/>
      <c r="F119" s="144">
        <f>IF(A89="","",7.5)</f>
        <v>7.5</v>
      </c>
      <c r="G119" s="144"/>
      <c r="H119" s="145">
        <f>IF(A89="","",J116)</f>
        <v>12</v>
      </c>
      <c r="I119" s="145"/>
      <c r="J119" s="146">
        <f>IF(A89="","",VLOOKUP(C117,AN108:AS117,3,FALSE))</f>
        <v>1.5880000000000001</v>
      </c>
      <c r="K119" s="146"/>
      <c r="L119" s="72" t="str">
        <f>IF(A89="","","=")</f>
        <v>=</v>
      </c>
      <c r="M119" s="83">
        <f>IF(A89="","",ROUNDUP((D119-(F119*2+H119*J119))/(F120-1),0))</f>
        <v>17</v>
      </c>
      <c r="N119" s="83"/>
    </row>
    <row r="120" spans="1:50" x14ac:dyDescent="0.25">
      <c r="B120" s="127"/>
      <c r="C120" s="127"/>
      <c r="D120" s="19"/>
      <c r="E120" s="19"/>
      <c r="F120" s="130">
        <f>IF(A89="","",J116)</f>
        <v>12</v>
      </c>
      <c r="G120" s="130"/>
      <c r="H120" s="130"/>
      <c r="I120" s="130"/>
      <c r="J120" s="19"/>
      <c r="K120" s="19"/>
      <c r="L120" s="72"/>
      <c r="M120" s="83"/>
      <c r="N120" s="83"/>
    </row>
    <row r="122" spans="1:50" x14ac:dyDescent="0.25">
      <c r="B122" s="42" t="s">
        <v>55</v>
      </c>
      <c r="C122" s="43"/>
      <c r="D122" s="43"/>
      <c r="E122" s="43"/>
      <c r="F122" s="44">
        <f>IF(A89="","",J116)</f>
        <v>12</v>
      </c>
      <c r="G122" s="141" t="str">
        <f>IF(A89="","",K116)</f>
        <v>Ø 5/8"</v>
      </c>
      <c r="H122" s="141"/>
      <c r="I122" s="142">
        <f>IF(A89="","",M119/100)</f>
        <v>0.17</v>
      </c>
      <c r="J122" s="142"/>
      <c r="K122" s="142"/>
    </row>
    <row r="124" spans="1:50" x14ac:dyDescent="0.25">
      <c r="A124" s="50">
        <f>IF(C3="https://hebmerma.com/",2,"")</f>
        <v>2</v>
      </c>
      <c r="B124" s="37" t="s">
        <v>58</v>
      </c>
    </row>
    <row r="126" spans="1:50" x14ac:dyDescent="0.25">
      <c r="B126" s="32" t="s">
        <v>31</v>
      </c>
      <c r="C126" s="115">
        <f>IF(A124="","",O2)</f>
        <v>58.37</v>
      </c>
      <c r="D126" s="115"/>
      <c r="E126" s="115"/>
      <c r="F126" s="19" t="str">
        <f>IF(A124="","","+")</f>
        <v>+</v>
      </c>
      <c r="G126" s="116">
        <f>IF(A124="","",O3)</f>
        <v>21</v>
      </c>
      <c r="H126" s="116"/>
      <c r="I126" s="116"/>
      <c r="J126" s="19" t="str">
        <f>IF(A124="","","=")</f>
        <v>=</v>
      </c>
      <c r="K126" s="117">
        <f>IF(A124="","",ROUND(1.4*C126+1.7*G126,2))</f>
        <v>117.42</v>
      </c>
      <c r="L126" s="117"/>
      <c r="M126" s="117"/>
    </row>
    <row r="128" spans="1:50" x14ac:dyDescent="0.25">
      <c r="B128" s="113" t="s">
        <v>57</v>
      </c>
      <c r="C128" s="113"/>
      <c r="D128" s="118">
        <f>IF(A124="","",K126)</f>
        <v>117.42</v>
      </c>
      <c r="E128" s="118"/>
      <c r="F128" s="118"/>
      <c r="G128" s="120">
        <f>IF(A124="","",ROUND(D128/D129,2))</f>
        <v>53.37</v>
      </c>
      <c r="H128" s="120"/>
      <c r="I128" s="120"/>
      <c r="J128" s="120"/>
    </row>
    <row r="129" spans="2:45" x14ac:dyDescent="0.25">
      <c r="B129" s="113"/>
      <c r="C129" s="113"/>
      <c r="D129" s="119">
        <f>IF(A124="","",O20)</f>
        <v>2.2000000000000002</v>
      </c>
      <c r="E129" s="119"/>
      <c r="F129" s="119"/>
      <c r="G129" s="120"/>
      <c r="H129" s="120"/>
      <c r="I129" s="120"/>
      <c r="J129" s="120"/>
    </row>
    <row r="131" spans="2:45" x14ac:dyDescent="0.25">
      <c r="B131" s="113" t="s">
        <v>32</v>
      </c>
      <c r="C131" s="113"/>
      <c r="D131" s="114">
        <f>IF(A124="","",G128)</f>
        <v>53.37</v>
      </c>
      <c r="E131" s="114"/>
      <c r="F131" s="114"/>
      <c r="G131" s="111">
        <f>IF(A124="","",(D129-(O38/100))/2)</f>
        <v>0.90000000000000013</v>
      </c>
      <c r="H131" s="111"/>
      <c r="I131" s="112">
        <f>IF(A124="","",D131*(G131^2/G132))</f>
        <v>21.614850000000008</v>
      </c>
      <c r="J131" s="112"/>
      <c r="K131" s="112"/>
      <c r="L131" s="112"/>
    </row>
    <row r="132" spans="2:45" x14ac:dyDescent="0.25">
      <c r="B132" s="113"/>
      <c r="C132" s="113"/>
      <c r="D132" s="114"/>
      <c r="E132" s="114"/>
      <c r="F132" s="114"/>
      <c r="G132" s="60">
        <f>IF(A124="","",2)</f>
        <v>2</v>
      </c>
      <c r="H132" s="60"/>
      <c r="I132" s="112"/>
      <c r="J132" s="112"/>
      <c r="K132" s="112"/>
      <c r="L132" s="112"/>
    </row>
    <row r="134" spans="2:45" x14ac:dyDescent="0.25">
      <c r="B134" s="38" t="s">
        <v>33</v>
      </c>
      <c r="H134" s="17" t="s">
        <v>35</v>
      </c>
      <c r="I134" s="96" t="str">
        <f>IF(A124="","",AZ2)</f>
        <v>Ø 3/4"</v>
      </c>
      <c r="J134" s="96"/>
      <c r="K134" s="97">
        <f>IF(A124="","",VLOOKUP(I134,AN143:AS152,3,FALSE))</f>
        <v>1.905</v>
      </c>
      <c r="L134" s="97"/>
    </row>
    <row r="136" spans="2:45" x14ac:dyDescent="0.25">
      <c r="B136" s="127" t="s">
        <v>34</v>
      </c>
      <c r="C136" s="128">
        <f>IF(A124="","",Q27)</f>
        <v>60</v>
      </c>
      <c r="D136" s="128"/>
      <c r="E136" s="129">
        <f>IF(A124="","",7.5)</f>
        <v>7.5</v>
      </c>
      <c r="F136" s="129"/>
      <c r="G136" s="88">
        <f>IF(A124="","",K134)</f>
        <v>1.905</v>
      </c>
      <c r="H136" s="88"/>
      <c r="I136" s="72" t="str">
        <f>IF(A124="","",") =")</f>
        <v>) =</v>
      </c>
      <c r="J136" s="83">
        <f>IF(A124="","",MROUND(C136-(E136+(G136/G137)),0.05))</f>
        <v>51.550000000000004</v>
      </c>
      <c r="K136" s="83"/>
      <c r="L136" s="83"/>
    </row>
    <row r="137" spans="2:45" x14ac:dyDescent="0.25">
      <c r="B137" s="127"/>
      <c r="C137" s="128"/>
      <c r="D137" s="128"/>
      <c r="E137" s="129"/>
      <c r="F137" s="129"/>
      <c r="G137" s="82">
        <f>IF(A124="","",2)</f>
        <v>2</v>
      </c>
      <c r="H137" s="82"/>
      <c r="I137" s="72"/>
      <c r="J137" s="83"/>
      <c r="K137" s="83"/>
      <c r="L137" s="83"/>
    </row>
    <row r="139" spans="2:45" x14ac:dyDescent="0.25">
      <c r="B139" s="127" t="s">
        <v>48</v>
      </c>
      <c r="C139" s="85">
        <f>IF(A124="","",0.85)</f>
        <v>0.85</v>
      </c>
      <c r="D139" s="85"/>
      <c r="E139" s="84">
        <f>IF(A124="","",0.7225)</f>
        <v>0.72250000000000003</v>
      </c>
      <c r="F139" s="84"/>
      <c r="G139" s="84"/>
      <c r="H139" s="39"/>
      <c r="I139" s="100">
        <f>IF(A124="","",1.7)</f>
        <v>1.7</v>
      </c>
      <c r="J139" s="100"/>
      <c r="K139" s="140">
        <f>IF(A124="","",I131*10^5)</f>
        <v>2161485.0000000009</v>
      </c>
      <c r="L139" s="140"/>
      <c r="M139" s="140"/>
      <c r="N139" s="39"/>
      <c r="O139" s="39"/>
      <c r="P139" s="79">
        <f>IF(A124="","",ROUND(C139-SQRT(E139-((I139*K139)/(H140*J140*L140*N140^2))),3))</f>
        <v>4.2000000000000003E-2</v>
      </c>
      <c r="Q139" s="79"/>
      <c r="R139" s="79"/>
    </row>
    <row r="140" spans="2:45" x14ac:dyDescent="0.25">
      <c r="B140" s="127"/>
      <c r="C140" s="85"/>
      <c r="D140" s="85"/>
      <c r="E140" s="84"/>
      <c r="F140" s="84"/>
      <c r="G140" s="84"/>
      <c r="H140" s="92">
        <f>IF(A124="","",0.85)</f>
        <v>0.85</v>
      </c>
      <c r="I140" s="92"/>
      <c r="J140" s="102">
        <f>IF(A124="","",H2)</f>
        <v>210</v>
      </c>
      <c r="K140" s="102"/>
      <c r="L140" s="102">
        <f>IF(A124="","",F20*100)</f>
        <v>110.00000000000001</v>
      </c>
      <c r="M140" s="102"/>
      <c r="N140" s="139">
        <f>IF(A124="","",J136)</f>
        <v>51.550000000000004</v>
      </c>
      <c r="O140" s="139"/>
      <c r="P140" s="79"/>
      <c r="Q140" s="79"/>
      <c r="R140" s="79"/>
    </row>
    <row r="142" spans="2:45" x14ac:dyDescent="0.25">
      <c r="B142" s="113" t="s">
        <v>49</v>
      </c>
      <c r="C142" s="147">
        <f>IF(A124="","",P139)</f>
        <v>4.2000000000000003E-2</v>
      </c>
      <c r="D142" s="147"/>
      <c r="E142" s="147"/>
      <c r="F142" s="88">
        <f>IF(A124="","",H2)</f>
        <v>210</v>
      </c>
      <c r="G142" s="88"/>
      <c r="H142" s="79">
        <f>IF(A124="","",ROUND(C142*(F142/F143),3))</f>
        <v>2E-3</v>
      </c>
      <c r="I142" s="79"/>
      <c r="J142" s="79"/>
    </row>
    <row r="143" spans="2:45" x14ac:dyDescent="0.25">
      <c r="B143" s="113"/>
      <c r="C143" s="147"/>
      <c r="D143" s="147"/>
      <c r="E143" s="147"/>
      <c r="F143" s="60">
        <f>IF(A124="","",H3)</f>
        <v>4200</v>
      </c>
      <c r="G143" s="60"/>
      <c r="H143" s="79"/>
      <c r="I143" s="79"/>
      <c r="J143" s="79"/>
      <c r="AN143" s="98" t="s">
        <v>36</v>
      </c>
      <c r="AO143" s="98"/>
      <c r="AP143" s="98" t="s">
        <v>47</v>
      </c>
      <c r="AQ143" s="98"/>
      <c r="AR143" s="98" t="s">
        <v>37</v>
      </c>
      <c r="AS143" s="98"/>
    </row>
    <row r="144" spans="2:45" x14ac:dyDescent="0.25">
      <c r="AN144" s="1" t="s">
        <v>38</v>
      </c>
      <c r="AO144" s="1"/>
      <c r="AP144" s="99">
        <v>0.63200000000000001</v>
      </c>
      <c r="AQ144" s="99"/>
      <c r="AR144" s="70">
        <v>0.32</v>
      </c>
      <c r="AS144" s="70"/>
    </row>
    <row r="145" spans="1:45" x14ac:dyDescent="0.25">
      <c r="B145" s="40" t="s">
        <v>50</v>
      </c>
      <c r="C145" s="135">
        <f>IF(A124="","",H142)</f>
        <v>2E-3</v>
      </c>
      <c r="D145" s="135"/>
      <c r="E145" s="135"/>
      <c r="F145" s="102">
        <f>IF(A124="","",L140)</f>
        <v>110.00000000000001</v>
      </c>
      <c r="G145" s="102"/>
      <c r="H145" s="60">
        <f>IF(A124="","",J136)</f>
        <v>51.550000000000004</v>
      </c>
      <c r="I145" s="60"/>
      <c r="J145" s="138">
        <f>IF(A124="","",ROUND(C145*F145*H145,2))</f>
        <v>11.34</v>
      </c>
      <c r="K145" s="138"/>
      <c r="L145" s="138"/>
      <c r="AN145" s="2" t="s">
        <v>39</v>
      </c>
      <c r="AO145" s="2"/>
      <c r="AP145" s="69">
        <v>0.95199999999999996</v>
      </c>
      <c r="AQ145" s="69"/>
      <c r="AR145" s="70">
        <v>0.71</v>
      </c>
      <c r="AS145" s="70"/>
    </row>
    <row r="146" spans="1:45" x14ac:dyDescent="0.25">
      <c r="B146" s="41"/>
      <c r="AN146" s="2" t="s">
        <v>40</v>
      </c>
      <c r="AO146" s="2"/>
      <c r="AP146" s="69">
        <v>1.27</v>
      </c>
      <c r="AQ146" s="69"/>
      <c r="AR146" s="70">
        <v>1.29</v>
      </c>
      <c r="AS146" s="70"/>
    </row>
    <row r="147" spans="1:45" x14ac:dyDescent="0.25">
      <c r="C147" s="40" t="s">
        <v>51</v>
      </c>
      <c r="D147" s="60">
        <f>IF(A124="","",0.0018)</f>
        <v>1.8E-3</v>
      </c>
      <c r="E147" s="60"/>
      <c r="F147" s="60"/>
      <c r="G147" s="132">
        <f>IF(A124="","",L140)</f>
        <v>110.00000000000001</v>
      </c>
      <c r="H147" s="132"/>
      <c r="I147" s="133">
        <f>IF(A124="","",Q27)</f>
        <v>60</v>
      </c>
      <c r="J147" s="133"/>
      <c r="K147" s="134">
        <f>IF(A124="","",D147*G147*I147)</f>
        <v>11.88</v>
      </c>
      <c r="L147" s="134"/>
      <c r="M147" s="134"/>
      <c r="N147" s="36" t="str">
        <f>IF(A124="","",IF(K147&gt;J145,"...cumple!","...no cumple!"))</f>
        <v>...cumple!</v>
      </c>
      <c r="AN147" s="2" t="s">
        <v>41</v>
      </c>
      <c r="AO147" s="2"/>
      <c r="AP147" s="69">
        <v>1.5880000000000001</v>
      </c>
      <c r="AQ147" s="69"/>
      <c r="AR147" s="70">
        <v>2</v>
      </c>
      <c r="AS147" s="70"/>
    </row>
    <row r="148" spans="1:45" x14ac:dyDescent="0.25">
      <c r="C148" s="135"/>
      <c r="D148" s="135"/>
      <c r="E148" s="135"/>
      <c r="AN148" s="2" t="s">
        <v>42</v>
      </c>
      <c r="AO148" s="2"/>
      <c r="AP148" s="69">
        <v>1.905</v>
      </c>
      <c r="AQ148" s="69"/>
      <c r="AR148" s="70">
        <v>2.84</v>
      </c>
      <c r="AS148" s="70"/>
    </row>
    <row r="149" spans="1:45" x14ac:dyDescent="0.25">
      <c r="C149" s="32" t="s">
        <v>52</v>
      </c>
      <c r="D149" s="134">
        <f>IF(A124="","",IF(N147="...cumple!",K147,""))</f>
        <v>11.88</v>
      </c>
      <c r="E149" s="134"/>
      <c r="F149" s="134"/>
      <c r="AN149" s="2" t="s">
        <v>43</v>
      </c>
      <c r="AO149" s="2"/>
      <c r="AP149" s="69">
        <v>2.54</v>
      </c>
      <c r="AQ149" s="69"/>
      <c r="AR149" s="70">
        <v>5.0999999999999996</v>
      </c>
      <c r="AS149" s="70"/>
    </row>
    <row r="150" spans="1:45" x14ac:dyDescent="0.25">
      <c r="AN150" s="2" t="s">
        <v>44</v>
      </c>
      <c r="AO150" s="2"/>
      <c r="AP150" s="69">
        <v>2.8650000000000002</v>
      </c>
      <c r="AQ150" s="69"/>
      <c r="AR150" s="70">
        <v>6.45</v>
      </c>
      <c r="AS150" s="70"/>
    </row>
    <row r="151" spans="1:45" x14ac:dyDescent="0.25">
      <c r="B151" s="14" t="s">
        <v>53</v>
      </c>
      <c r="F151" s="136">
        <f>IF(A124="","",D149)</f>
        <v>11.88</v>
      </c>
      <c r="G151" s="136"/>
      <c r="H151" s="136"/>
      <c r="I151" s="72" t="str">
        <f>IF(A124="","","=")</f>
        <v>=</v>
      </c>
      <c r="J151" s="72">
        <f>IF(A124="","",ROUNDUP(F151/F152,0))</f>
        <v>6</v>
      </c>
      <c r="K151" s="78" t="str">
        <f>IF(A124="","",C152)</f>
        <v>Ø 5/8"</v>
      </c>
      <c r="L151" s="78"/>
      <c r="AN151" s="2" t="s">
        <v>45</v>
      </c>
      <c r="AO151" s="2"/>
      <c r="AP151" s="69">
        <v>3.226</v>
      </c>
      <c r="AQ151" s="69"/>
      <c r="AR151" s="70">
        <v>8.19</v>
      </c>
      <c r="AS151" s="70"/>
    </row>
    <row r="152" spans="1:45" x14ac:dyDescent="0.25">
      <c r="C152" s="137" t="str">
        <f>IF(A124="","",AZ4)</f>
        <v>Ø 5/8"</v>
      </c>
      <c r="D152" s="137"/>
      <c r="F152" s="82">
        <f>IF(A124="","",VLOOKUP(C152,AN143:AS152,5,FALSE))</f>
        <v>2</v>
      </c>
      <c r="G152" s="82"/>
      <c r="H152" s="82"/>
      <c r="I152" s="72"/>
      <c r="J152" s="72"/>
      <c r="K152" s="78"/>
      <c r="L152" s="78"/>
      <c r="AN152" s="2" t="s">
        <v>46</v>
      </c>
      <c r="AO152" s="2"/>
      <c r="AP152" s="69">
        <v>3.58</v>
      </c>
      <c r="AQ152" s="69"/>
      <c r="AR152" s="70">
        <v>10.07</v>
      </c>
      <c r="AS152" s="70"/>
    </row>
    <row r="154" spans="1:45" x14ac:dyDescent="0.25">
      <c r="B154" s="127" t="s">
        <v>54</v>
      </c>
      <c r="C154" s="127"/>
      <c r="D154" s="143">
        <f>IF(A124="","",L140)</f>
        <v>110.00000000000001</v>
      </c>
      <c r="E154" s="143"/>
      <c r="F154" s="144">
        <f>IF(A124="","",7.5)</f>
        <v>7.5</v>
      </c>
      <c r="G154" s="144"/>
      <c r="H154" s="145">
        <f>IF(A124="","",J151)</f>
        <v>6</v>
      </c>
      <c r="I154" s="145"/>
      <c r="J154" s="146">
        <f>IF(A124="","",VLOOKUP(C152,AN143:AS152,3,FALSE))</f>
        <v>1.5880000000000001</v>
      </c>
      <c r="K154" s="146"/>
      <c r="L154" s="72" t="str">
        <f>IF(A124="","","=")</f>
        <v>=</v>
      </c>
      <c r="M154" s="83">
        <f>IF(A124="","",ROUNDUP((D154-(F154*2+H154*J154))/(F155-1),0))</f>
        <v>18</v>
      </c>
      <c r="N154" s="83"/>
    </row>
    <row r="155" spans="1:45" x14ac:dyDescent="0.25">
      <c r="B155" s="127"/>
      <c r="C155" s="127"/>
      <c r="D155" s="19"/>
      <c r="E155" s="19"/>
      <c r="F155" s="130">
        <f>IF(A124="","",J151)</f>
        <v>6</v>
      </c>
      <c r="G155" s="130"/>
      <c r="H155" s="130"/>
      <c r="I155" s="130"/>
      <c r="J155" s="19"/>
      <c r="K155" s="19"/>
      <c r="L155" s="72"/>
      <c r="M155" s="83"/>
      <c r="N155" s="83"/>
    </row>
    <row r="157" spans="1:45" x14ac:dyDescent="0.25">
      <c r="B157" s="42" t="s">
        <v>55</v>
      </c>
      <c r="C157" s="43"/>
      <c r="D157" s="43"/>
      <c r="E157" s="43"/>
      <c r="F157" s="44">
        <f>IF(A124="","",J151)</f>
        <v>6</v>
      </c>
      <c r="G157" s="141" t="str">
        <f>IF(A124="","",K151)</f>
        <v>Ø 5/8"</v>
      </c>
      <c r="H157" s="141"/>
      <c r="I157" s="142">
        <f>IF(A124="","",M154/100)</f>
        <v>0.18</v>
      </c>
      <c r="J157" s="142"/>
      <c r="K157" s="142"/>
    </row>
    <row r="159" spans="1:45" x14ac:dyDescent="0.25">
      <c r="A159" s="16" t="s">
        <v>59</v>
      </c>
    </row>
    <row r="161" spans="2:35" x14ac:dyDescent="0.25"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4"/>
    </row>
    <row r="162" spans="2:35" x14ac:dyDescent="0.25"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7"/>
    </row>
    <row r="163" spans="2:35" x14ac:dyDescent="0.25"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7"/>
    </row>
    <row r="164" spans="2:35" x14ac:dyDescent="0.25"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7"/>
    </row>
    <row r="165" spans="2:35" x14ac:dyDescent="0.25"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7"/>
    </row>
    <row r="166" spans="2:35" x14ac:dyDescent="0.25"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7"/>
    </row>
    <row r="167" spans="2:35" x14ac:dyDescent="0.25"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7"/>
    </row>
    <row r="168" spans="2:35" x14ac:dyDescent="0.25"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7"/>
    </row>
    <row r="169" spans="2:35" x14ac:dyDescent="0.25"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7"/>
    </row>
    <row r="170" spans="2:35" x14ac:dyDescent="0.25"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7"/>
    </row>
    <row r="171" spans="2:35" x14ac:dyDescent="0.25"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7"/>
    </row>
    <row r="172" spans="2:35" x14ac:dyDescent="0.25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7"/>
    </row>
    <row r="173" spans="2:35" x14ac:dyDescent="0.25"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7"/>
    </row>
    <row r="174" spans="2:35" x14ac:dyDescent="0.25"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7"/>
    </row>
    <row r="175" spans="2:35" x14ac:dyDescent="0.25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7"/>
    </row>
    <row r="176" spans="2:35" x14ac:dyDescent="0.25"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7"/>
    </row>
    <row r="177" spans="2:35" x14ac:dyDescent="0.25"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7"/>
    </row>
    <row r="178" spans="2:35" x14ac:dyDescent="0.25"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7"/>
    </row>
    <row r="179" spans="2:35" x14ac:dyDescent="0.25"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7"/>
    </row>
    <row r="180" spans="2:35" x14ac:dyDescent="0.25">
      <c r="B180" s="55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7"/>
    </row>
    <row r="181" spans="2:35" x14ac:dyDescent="0.25"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7"/>
    </row>
    <row r="182" spans="2:35" x14ac:dyDescent="0.25">
      <c r="B182" s="58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59"/>
    </row>
  </sheetData>
  <sheetProtection algorithmName="SHA-512" hashValue="a5tKXptGY4lajtaFfmHaynL63iX5/R7iz9KPIVt/GBFslmmYflFyWseYEIfomNENQD8sJjFV9EHoMnwvLtTQoQ==" saltValue="hRPIpctd0T9yOI5vOI1nOw==" spinCount="100000" sheet="1" objects="1" scenarios="1"/>
  <mergeCells count="306">
    <mergeCell ref="B82:B83"/>
    <mergeCell ref="C82:D83"/>
    <mergeCell ref="E82:F83"/>
    <mergeCell ref="G82:H83"/>
    <mergeCell ref="I82:J82"/>
    <mergeCell ref="I83:J83"/>
    <mergeCell ref="C69:E70"/>
    <mergeCell ref="F69:F70"/>
    <mergeCell ref="H69:H70"/>
    <mergeCell ref="I69:J69"/>
    <mergeCell ref="B70:B71"/>
    <mergeCell ref="J70:K70"/>
    <mergeCell ref="D71:D72"/>
    <mergeCell ref="E71:E72"/>
    <mergeCell ref="G71:G72"/>
    <mergeCell ref="H71:H72"/>
    <mergeCell ref="I71:J72"/>
    <mergeCell ref="K71:K72"/>
    <mergeCell ref="B76:B77"/>
    <mergeCell ref="D77:E77"/>
    <mergeCell ref="B79:B80"/>
    <mergeCell ref="C79:D79"/>
    <mergeCell ref="E79:G80"/>
    <mergeCell ref="C80:D80"/>
    <mergeCell ref="B51:B52"/>
    <mergeCell ref="B54:B55"/>
    <mergeCell ref="C54:D54"/>
    <mergeCell ref="C55:D55"/>
    <mergeCell ref="E54:G55"/>
    <mergeCell ref="B66:B67"/>
    <mergeCell ref="C66:D66"/>
    <mergeCell ref="E66:G67"/>
    <mergeCell ref="C67:D67"/>
    <mergeCell ref="D64:E64"/>
    <mergeCell ref="B57:B58"/>
    <mergeCell ref="C57:D58"/>
    <mergeCell ref="E57:F58"/>
    <mergeCell ref="G57:H58"/>
    <mergeCell ref="B20:C21"/>
    <mergeCell ref="D20:E20"/>
    <mergeCell ref="D21:E21"/>
    <mergeCell ref="F20:H21"/>
    <mergeCell ref="O4:P4"/>
    <mergeCell ref="B27:C28"/>
    <mergeCell ref="H28:I28"/>
    <mergeCell ref="J28:K28"/>
    <mergeCell ref="J27:K27"/>
    <mergeCell ref="H27:I27"/>
    <mergeCell ref="L27:O28"/>
    <mergeCell ref="P27:P28"/>
    <mergeCell ref="O20:Q21"/>
    <mergeCell ref="M20:N21"/>
    <mergeCell ref="L20:L21"/>
    <mergeCell ref="J20:K21"/>
    <mergeCell ref="I23:J23"/>
    <mergeCell ref="F23:G23"/>
    <mergeCell ref="F27:G28"/>
    <mergeCell ref="D27:E28"/>
    <mergeCell ref="Q27:S28"/>
    <mergeCell ref="B13:C14"/>
    <mergeCell ref="D14:E14"/>
    <mergeCell ref="O3:P3"/>
    <mergeCell ref="O2:P2"/>
    <mergeCell ref="H3:I3"/>
    <mergeCell ref="H2:I2"/>
    <mergeCell ref="D9:E9"/>
    <mergeCell ref="F9:G9"/>
    <mergeCell ref="H9:I9"/>
    <mergeCell ref="J9:M9"/>
    <mergeCell ref="H4:I4"/>
    <mergeCell ref="G157:H157"/>
    <mergeCell ref="I157:K157"/>
    <mergeCell ref="AC3:AD3"/>
    <mergeCell ref="AC2:AD2"/>
    <mergeCell ref="V4:W4"/>
    <mergeCell ref="V3:W3"/>
    <mergeCell ref="V2:W2"/>
    <mergeCell ref="G51:I52"/>
    <mergeCell ref="D85:F85"/>
    <mergeCell ref="G85:I85"/>
    <mergeCell ref="M70:O71"/>
    <mergeCell ref="M74:N74"/>
    <mergeCell ref="K82:N83"/>
    <mergeCell ref="O82:Q83"/>
    <mergeCell ref="K69:L69"/>
    <mergeCell ref="D149:F149"/>
    <mergeCell ref="F151:H151"/>
    <mergeCell ref="I151:I152"/>
    <mergeCell ref="J151:J152"/>
    <mergeCell ref="K151:L152"/>
    <mergeCell ref="C152:D152"/>
    <mergeCell ref="F152:H152"/>
    <mergeCell ref="D13:E13"/>
    <mergeCell ref="F13:H14"/>
    <mergeCell ref="B154:C155"/>
    <mergeCell ref="D154:E154"/>
    <mergeCell ref="F154:G154"/>
    <mergeCell ref="H154:I154"/>
    <mergeCell ref="J154:K154"/>
    <mergeCell ref="L154:L155"/>
    <mergeCell ref="C145:E145"/>
    <mergeCell ref="F145:G145"/>
    <mergeCell ref="H145:I145"/>
    <mergeCell ref="J145:L145"/>
    <mergeCell ref="D147:F147"/>
    <mergeCell ref="G147:H147"/>
    <mergeCell ref="I147:J147"/>
    <mergeCell ref="K147:M147"/>
    <mergeCell ref="C148:E148"/>
    <mergeCell ref="M154:N155"/>
    <mergeCell ref="F155:I155"/>
    <mergeCell ref="AP151:AQ151"/>
    <mergeCell ref="AR151:AS151"/>
    <mergeCell ref="H140:I140"/>
    <mergeCell ref="J140:K140"/>
    <mergeCell ref="L140:M140"/>
    <mergeCell ref="N140:O140"/>
    <mergeCell ref="B142:B143"/>
    <mergeCell ref="C142:E143"/>
    <mergeCell ref="F142:G142"/>
    <mergeCell ref="H142:J143"/>
    <mergeCell ref="F143:G143"/>
    <mergeCell ref="AP146:AQ146"/>
    <mergeCell ref="AR146:AS146"/>
    <mergeCell ref="P139:R140"/>
    <mergeCell ref="AP152:AQ152"/>
    <mergeCell ref="AR152:AS152"/>
    <mergeCell ref="AP147:AQ147"/>
    <mergeCell ref="AR147:AS147"/>
    <mergeCell ref="B136:B137"/>
    <mergeCell ref="C136:D137"/>
    <mergeCell ref="E136:F137"/>
    <mergeCell ref="G136:H136"/>
    <mergeCell ref="I136:I137"/>
    <mergeCell ref="J136:L137"/>
    <mergeCell ref="AP148:AQ148"/>
    <mergeCell ref="AR148:AS148"/>
    <mergeCell ref="G137:H137"/>
    <mergeCell ref="AP149:AQ149"/>
    <mergeCell ref="AR149:AS149"/>
    <mergeCell ref="AN143:AO143"/>
    <mergeCell ref="AP143:AQ143"/>
    <mergeCell ref="AR143:AS143"/>
    <mergeCell ref="AP150:AQ150"/>
    <mergeCell ref="AR150:AS150"/>
    <mergeCell ref="B139:B140"/>
    <mergeCell ref="C139:D140"/>
    <mergeCell ref="E139:G140"/>
    <mergeCell ref="I139:J139"/>
    <mergeCell ref="F119:G119"/>
    <mergeCell ref="H119:I119"/>
    <mergeCell ref="J119:K119"/>
    <mergeCell ref="G132:H132"/>
    <mergeCell ref="AP144:AQ144"/>
    <mergeCell ref="AR144:AS144"/>
    <mergeCell ref="AP145:AQ145"/>
    <mergeCell ref="AR145:AS145"/>
    <mergeCell ref="I134:J134"/>
    <mergeCell ref="K134:L134"/>
    <mergeCell ref="K139:M139"/>
    <mergeCell ref="K116:L117"/>
    <mergeCell ref="J110:L110"/>
    <mergeCell ref="D112:F112"/>
    <mergeCell ref="B107:B108"/>
    <mergeCell ref="H110:I110"/>
    <mergeCell ref="N105:O105"/>
    <mergeCell ref="L105:M105"/>
    <mergeCell ref="K104:M104"/>
    <mergeCell ref="B131:C132"/>
    <mergeCell ref="D131:F132"/>
    <mergeCell ref="G131:H131"/>
    <mergeCell ref="I131:L132"/>
    <mergeCell ref="C126:E126"/>
    <mergeCell ref="G126:I126"/>
    <mergeCell ref="K126:M126"/>
    <mergeCell ref="B128:C129"/>
    <mergeCell ref="D128:F128"/>
    <mergeCell ref="G128:J129"/>
    <mergeCell ref="D129:F129"/>
    <mergeCell ref="M119:N120"/>
    <mergeCell ref="G122:H122"/>
    <mergeCell ref="I122:K122"/>
    <mergeCell ref="B119:C120"/>
    <mergeCell ref="D119:E119"/>
    <mergeCell ref="B104:B105"/>
    <mergeCell ref="H105:I105"/>
    <mergeCell ref="B101:B102"/>
    <mergeCell ref="C101:D102"/>
    <mergeCell ref="E101:F102"/>
    <mergeCell ref="G101:H101"/>
    <mergeCell ref="G102:H102"/>
    <mergeCell ref="F120:I120"/>
    <mergeCell ref="L119:L120"/>
    <mergeCell ref="C107:E108"/>
    <mergeCell ref="G112:H112"/>
    <mergeCell ref="I112:J112"/>
    <mergeCell ref="K112:M112"/>
    <mergeCell ref="F108:G108"/>
    <mergeCell ref="F107:G107"/>
    <mergeCell ref="H107:J108"/>
    <mergeCell ref="C110:E110"/>
    <mergeCell ref="F110:G110"/>
    <mergeCell ref="D114:F114"/>
    <mergeCell ref="F116:H116"/>
    <mergeCell ref="C117:D117"/>
    <mergeCell ref="F117:H117"/>
    <mergeCell ref="J116:J117"/>
    <mergeCell ref="I116:I117"/>
    <mergeCell ref="AP117:AQ117"/>
    <mergeCell ref="AP116:AQ116"/>
    <mergeCell ref="AR117:AS117"/>
    <mergeCell ref="AP112:AQ112"/>
    <mergeCell ref="AR112:AS112"/>
    <mergeCell ref="AR113:AS113"/>
    <mergeCell ref="AP114:AQ114"/>
    <mergeCell ref="AR114:AS114"/>
    <mergeCell ref="AP115:AQ115"/>
    <mergeCell ref="AR115:AS115"/>
    <mergeCell ref="AR116:AS116"/>
    <mergeCell ref="AP113:AQ113"/>
    <mergeCell ref="C44:D44"/>
    <mergeCell ref="C43:D43"/>
    <mergeCell ref="B43:B44"/>
    <mergeCell ref="E43:G44"/>
    <mergeCell ref="G97:H97"/>
    <mergeCell ref="G96:H96"/>
    <mergeCell ref="I96:L97"/>
    <mergeCell ref="B96:C97"/>
    <mergeCell ref="D96:F97"/>
    <mergeCell ref="C91:E91"/>
    <mergeCell ref="G91:I91"/>
    <mergeCell ref="K91:M91"/>
    <mergeCell ref="D93:F93"/>
    <mergeCell ref="D94:F94"/>
    <mergeCell ref="B93:C94"/>
    <mergeCell ref="G93:J94"/>
    <mergeCell ref="H46:H47"/>
    <mergeCell ref="K46:L46"/>
    <mergeCell ref="I46:J46"/>
    <mergeCell ref="J47:K47"/>
    <mergeCell ref="D48:D49"/>
    <mergeCell ref="B47:B48"/>
    <mergeCell ref="K57:N58"/>
    <mergeCell ref="D60:F60"/>
    <mergeCell ref="B33:C34"/>
    <mergeCell ref="D33:E33"/>
    <mergeCell ref="D34:E34"/>
    <mergeCell ref="F34:G34"/>
    <mergeCell ref="F33:G33"/>
    <mergeCell ref="H33:K34"/>
    <mergeCell ref="AS4:AT4"/>
    <mergeCell ref="AP111:AQ111"/>
    <mergeCell ref="AR111:AS111"/>
    <mergeCell ref="I99:J99"/>
    <mergeCell ref="K99:L99"/>
    <mergeCell ref="AN108:AO108"/>
    <mergeCell ref="AP108:AQ108"/>
    <mergeCell ref="AR108:AS108"/>
    <mergeCell ref="AP109:AQ109"/>
    <mergeCell ref="AR109:AS109"/>
    <mergeCell ref="I104:J104"/>
    <mergeCell ref="P104:R105"/>
    <mergeCell ref="J105:K105"/>
    <mergeCell ref="H36:I36"/>
    <mergeCell ref="J36:K36"/>
    <mergeCell ref="O38:P38"/>
    <mergeCell ref="Q38:R38"/>
    <mergeCell ref="Q41:R41"/>
    <mergeCell ref="C46:E47"/>
    <mergeCell ref="F46:F47"/>
    <mergeCell ref="AP110:AQ110"/>
    <mergeCell ref="AR110:AS110"/>
    <mergeCell ref="E48:E49"/>
    <mergeCell ref="I48:J49"/>
    <mergeCell ref="H48:H49"/>
    <mergeCell ref="G48:G49"/>
    <mergeCell ref="K48:K49"/>
    <mergeCell ref="M47:O48"/>
    <mergeCell ref="C51:D51"/>
    <mergeCell ref="E51:F51"/>
    <mergeCell ref="D52:E52"/>
    <mergeCell ref="I101:I102"/>
    <mergeCell ref="J101:L102"/>
    <mergeCell ref="E104:G105"/>
    <mergeCell ref="C104:D105"/>
    <mergeCell ref="O57:Q58"/>
    <mergeCell ref="G60:I60"/>
    <mergeCell ref="I57:J57"/>
    <mergeCell ref="I58:J58"/>
    <mergeCell ref="C76:D76"/>
    <mergeCell ref="E76:F76"/>
    <mergeCell ref="G76:I77"/>
    <mergeCell ref="AW113:AX113"/>
    <mergeCell ref="AS5:AU5"/>
    <mergeCell ref="AZ2:BA2"/>
    <mergeCell ref="AZ3:BB3"/>
    <mergeCell ref="AZ4:BA4"/>
    <mergeCell ref="AZ5:BB5"/>
    <mergeCell ref="AJ3:AK3"/>
    <mergeCell ref="AJ4:AK4"/>
    <mergeCell ref="AJ5:AK5"/>
    <mergeCell ref="AS2:AT2"/>
    <mergeCell ref="AJ2:AK2"/>
    <mergeCell ref="AM2:AN2"/>
    <mergeCell ref="AM4:AN4"/>
    <mergeCell ref="AS3:AU3"/>
  </mergeCells>
  <dataValidations count="1">
    <dataValidation type="list" allowBlank="1" showInputMessage="1" showErrorMessage="1" sqref="I99:J99 C117:D117 I134:J134 C152:D152 AS2:AT2 AS4:AT4 AZ2:BA2 AZ4:BA4" xr:uid="{9398C596-C33C-4A32-8D74-437547BD9C2A}">
      <formula1>$AN$109:$AN$117</formula1>
    </dataValidation>
  </dataValidations>
  <hyperlinks>
    <hyperlink ref="AG5" r:id="rId1" display="https://hebmerma.com/" xr:uid="{2B5DE784-2B75-46FF-B492-5E9E9FBE42FE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B681-90D7-439F-B0FC-FAF7CA115497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24BF-49DB-4565-9679-63F5FCE15B94}">
  <sheetPr codeName="Hoja2"/>
  <dimension ref="A1:AC213"/>
  <sheetViews>
    <sheetView zoomScaleNormal="100" workbookViewId="0"/>
  </sheetViews>
  <sheetFormatPr baseColWidth="10" defaultColWidth="5.7109375" defaultRowHeight="15" x14ac:dyDescent="0.25"/>
  <cols>
    <col min="1" max="4" width="5.7109375" style="173" customWidth="1"/>
    <col min="5" max="7" width="5.7109375" style="173"/>
    <col min="8" max="8" width="6.5703125" style="173" bestFit="1" customWidth="1"/>
    <col min="9" max="12" width="5.7109375" style="173"/>
    <col min="13" max="13" width="6.5703125" style="173" bestFit="1" customWidth="1"/>
    <col min="14" max="16" width="5.7109375" style="173"/>
    <col min="17" max="17" width="6.5703125" style="173" bestFit="1" customWidth="1"/>
    <col min="18" max="16384" width="5.7109375" style="173"/>
  </cols>
  <sheetData>
    <row r="1" spans="1:22" x14ac:dyDescent="0.25">
      <c r="A1" s="173" t="str">
        <f>IF('ZAPATA EXCENTRICA'!AG5="https://hebmerma.com/","HM","")</f>
        <v>HM</v>
      </c>
      <c r="B1" s="173" t="s">
        <v>73</v>
      </c>
    </row>
    <row r="2" spans="1:22" x14ac:dyDescent="0.25">
      <c r="B2" s="173" t="s">
        <v>77</v>
      </c>
      <c r="C2" s="173" t="s">
        <v>78</v>
      </c>
      <c r="D2" s="173" t="s">
        <v>76</v>
      </c>
      <c r="E2" s="174" t="s">
        <v>81</v>
      </c>
      <c r="F2" s="173" t="s">
        <v>75</v>
      </c>
      <c r="H2" s="174" t="s">
        <v>74</v>
      </c>
      <c r="I2" s="174" t="s">
        <v>79</v>
      </c>
      <c r="J2" s="174" t="s">
        <v>80</v>
      </c>
      <c r="K2" s="174" t="s">
        <v>102</v>
      </c>
      <c r="L2" s="175" t="s">
        <v>83</v>
      </c>
      <c r="M2" s="173" t="s">
        <v>84</v>
      </c>
      <c r="P2" s="174" t="s">
        <v>102</v>
      </c>
      <c r="Q2" s="173" t="s">
        <v>85</v>
      </c>
    </row>
    <row r="3" spans="1:22" x14ac:dyDescent="0.25">
      <c r="B3" s="173">
        <f>IF($A$1="",0,'ZAPATA EXCENTRICA'!F23)</f>
        <v>1.1000000000000001</v>
      </c>
      <c r="C3" s="173">
        <f>IF($A$1="",0,'ZAPATA EXCENTRICA'!I23)</f>
        <v>2.2000000000000002</v>
      </c>
      <c r="D3" s="173">
        <f>IF(A1="",0,'ZAPATA EXCENTRICA'!Q27/100)</f>
        <v>0.6</v>
      </c>
      <c r="E3" s="173">
        <f>IF($A$1="",0,'ZAPATA EXCENTRICA'!O4)</f>
        <v>79.37</v>
      </c>
      <c r="F3" s="173">
        <f>IF($A$1="",0,'ZAPATA EXCENTRICA'!O38/100)</f>
        <v>0.4</v>
      </c>
      <c r="G3" s="173">
        <f>IF($A$1="",0,'ZAPATA EXCENTRICA'!D64)</f>
        <v>0.65</v>
      </c>
      <c r="H3" s="173">
        <f>IF($A$1="",0,'ZAPATA EXCENTRICA'!H4)</f>
        <v>4.5</v>
      </c>
      <c r="I3" s="173">
        <f>IF($A$1="",0,'ZAPATA EXCENTRICA'!V3)</f>
        <v>1.2</v>
      </c>
      <c r="J3" s="173">
        <f>IF($A$1="",0,'ZAPATA EXCENTRICA'!AC2)</f>
        <v>400</v>
      </c>
      <c r="K3" s="173">
        <f>IF($A$1="",0,'ZAPATA EXCENTRICA'!G93)</f>
        <v>106.75</v>
      </c>
      <c r="L3" s="173">
        <f>IF($A$1="",0,'ZAPATA EXCENTRICA'!K91)</f>
        <v>117.42</v>
      </c>
      <c r="M3" s="173">
        <f>IF($A$1="",0,'ZAPATA EXCENTRICA'!F122)</f>
        <v>12</v>
      </c>
      <c r="N3" s="173" t="str">
        <f>IF($A$1="",0,'ZAPATA EXCENTRICA'!G122)</f>
        <v>Ø 5/8"</v>
      </c>
      <c r="O3" s="176">
        <f>IF($A$1="",0,'ZAPATA EXCENTRICA'!I122)</f>
        <v>0.17</v>
      </c>
      <c r="P3" s="173">
        <f>IF($A$1="",0,'ZAPATA EXCENTRICA'!G128)</f>
        <v>53.37</v>
      </c>
      <c r="Q3" s="173">
        <f>IF($A$1="",0,'ZAPATA EXCENTRICA'!F157)</f>
        <v>6</v>
      </c>
      <c r="R3" s="173" t="str">
        <f>IF($A$1="",0,'ZAPATA EXCENTRICA'!G157)</f>
        <v>Ø 5/8"</v>
      </c>
      <c r="S3" s="176">
        <f>IF($A$1="",0,'ZAPATA EXCENTRICA'!I157)</f>
        <v>0.18</v>
      </c>
      <c r="T3" s="173" t="s">
        <v>86</v>
      </c>
      <c r="U3" s="173" t="s">
        <v>87</v>
      </c>
      <c r="V3" s="173" t="s">
        <v>88</v>
      </c>
    </row>
    <row r="5" spans="1:22" x14ac:dyDescent="0.25">
      <c r="B5" s="173">
        <v>0</v>
      </c>
      <c r="C5" s="173">
        <v>0</v>
      </c>
      <c r="E5" s="173">
        <v>0</v>
      </c>
      <c r="F5" s="173">
        <f>IF($A$1="",0,H3)</f>
        <v>4.5</v>
      </c>
      <c r="H5" s="173">
        <f>IF($A$1="",0,0)</f>
        <v>0</v>
      </c>
      <c r="I5" s="173">
        <f>IF($A$1="",0,0)</f>
        <v>0</v>
      </c>
      <c r="K5" s="173">
        <f>IF($A$1="",0,0)</f>
        <v>0</v>
      </c>
      <c r="L5" s="173">
        <f>IF($A$1="",0,0)</f>
        <v>0</v>
      </c>
      <c r="N5" s="173">
        <f>IF($A$1="",0,0)</f>
        <v>0</v>
      </c>
      <c r="O5" s="173">
        <f>IF($A$1="",0,0)</f>
        <v>0</v>
      </c>
      <c r="Q5" s="173">
        <f>IF($A$1="",0,0)</f>
        <v>0</v>
      </c>
      <c r="R5" s="173">
        <f>IF($A$1="",0,0)</f>
        <v>0</v>
      </c>
    </row>
    <row r="6" spans="1:22" x14ac:dyDescent="0.25">
      <c r="B6" s="173">
        <f>IF($A$1="",0,B3)</f>
        <v>1.1000000000000001</v>
      </c>
      <c r="C6" s="173">
        <f>IF($A$1="",0,0)</f>
        <v>0</v>
      </c>
      <c r="E6" s="173">
        <f>IF($A$1="",0,B21)</f>
        <v>3.5</v>
      </c>
      <c r="F6" s="173">
        <f>IF($A$1="",0,H3)</f>
        <v>4.5</v>
      </c>
      <c r="H6" s="173">
        <f>IF($A$1="",0,B3)</f>
        <v>1.1000000000000001</v>
      </c>
      <c r="I6" s="173">
        <f>IF($A$1="",0,0)</f>
        <v>0</v>
      </c>
      <c r="K6" s="173">
        <f>IF($A$1="",0,C3)</f>
        <v>2.2000000000000002</v>
      </c>
      <c r="L6" s="173">
        <f>IF($A$1="",0,0)</f>
        <v>0</v>
      </c>
      <c r="N6" s="173">
        <f>IF($A$1="",0,B3)</f>
        <v>1.1000000000000001</v>
      </c>
      <c r="O6" s="173">
        <f>IF($A$1="",0,0)</f>
        <v>0</v>
      </c>
      <c r="Q6" s="173">
        <f>IF($A$1="",0,B3)</f>
        <v>1.1000000000000001</v>
      </c>
      <c r="R6" s="173">
        <f>IF($A$1="",0,0)</f>
        <v>0</v>
      </c>
    </row>
    <row r="8" spans="1:22" x14ac:dyDescent="0.25">
      <c r="B8" s="173">
        <f>IF($A$1="",0,B6)</f>
        <v>1.1000000000000001</v>
      </c>
      <c r="C8" s="173">
        <f>IF($A$1="",0,C6)</f>
        <v>0</v>
      </c>
      <c r="E8" s="173">
        <f>IF($A$1="",0,B5-0.1)</f>
        <v>-0.1</v>
      </c>
      <c r="F8" s="173">
        <f>IF($A$1="",0,C5)</f>
        <v>0</v>
      </c>
      <c r="H8" s="173">
        <f>IF($A$1="",0,H6)</f>
        <v>1.1000000000000001</v>
      </c>
      <c r="I8" s="173">
        <f>IF($A$1="",0,I6)</f>
        <v>0</v>
      </c>
      <c r="K8" s="173">
        <f>IF($A$1="",0,K6)</f>
        <v>2.2000000000000002</v>
      </c>
      <c r="L8" s="173">
        <f>IF($A$1="",0,L6)</f>
        <v>0</v>
      </c>
      <c r="N8" s="173">
        <f>IF($A$1="",0,N6)</f>
        <v>1.1000000000000001</v>
      </c>
      <c r="O8" s="173">
        <f>IF($A$1="",0,O6)</f>
        <v>0</v>
      </c>
      <c r="Q8" s="173">
        <f>IF($A$1="",0,Q6)</f>
        <v>1.1000000000000001</v>
      </c>
      <c r="R8" s="173">
        <f>IF($A$1="",0,R6)</f>
        <v>0</v>
      </c>
    </row>
    <row r="9" spans="1:22" x14ac:dyDescent="0.25">
      <c r="B9" s="173">
        <f>IF($A$1="",0,B8)</f>
        <v>1.1000000000000001</v>
      </c>
      <c r="C9" s="173">
        <f>IF($A$1="",0,D3)</f>
        <v>0.6</v>
      </c>
      <c r="E9" s="173">
        <f>IF($A$1="",0,B5-0.4)</f>
        <v>-0.4</v>
      </c>
      <c r="F9" s="173">
        <f>IF($A$1="",0,C5)</f>
        <v>0</v>
      </c>
      <c r="H9" s="173">
        <f>IF($A$1="",0,H8)</f>
        <v>1.1000000000000001</v>
      </c>
      <c r="I9" s="173">
        <f>IF($A$1="",0,D3)</f>
        <v>0.6</v>
      </c>
      <c r="K9" s="173">
        <f>IF($A$1="",0,K8)</f>
        <v>2.2000000000000002</v>
      </c>
      <c r="L9" s="173">
        <f>IF($A$1="",0,D3)</f>
        <v>0.6</v>
      </c>
      <c r="N9" s="173">
        <f>IF($A$1="",0,N8)</f>
        <v>1.1000000000000001</v>
      </c>
      <c r="O9" s="173">
        <f>IF($A$1="",0,C3)</f>
        <v>2.2000000000000002</v>
      </c>
      <c r="Q9" s="173">
        <f>IF($A$1="",0,Q8)</f>
        <v>1.1000000000000001</v>
      </c>
      <c r="R9" s="173">
        <f>IF($A$1="",0,D3)</f>
        <v>0.6</v>
      </c>
    </row>
    <row r="11" spans="1:22" x14ac:dyDescent="0.25">
      <c r="B11" s="173">
        <f>IF($A$1="",0,B9)</f>
        <v>1.1000000000000001</v>
      </c>
      <c r="C11" s="173">
        <f>IF($A$1="",0,C9)</f>
        <v>0.6</v>
      </c>
      <c r="E11" s="173">
        <f>IF($A$1="",0,(E9+E8)/2)</f>
        <v>-0.25</v>
      </c>
      <c r="F11" s="173">
        <f>IF($A$1="",0,F9)</f>
        <v>0</v>
      </c>
      <c r="H11" s="173">
        <f>IF($A$1="",0,H9)</f>
        <v>1.1000000000000001</v>
      </c>
      <c r="I11" s="173">
        <f>IF($A$1="",0,I9)</f>
        <v>0.6</v>
      </c>
      <c r="K11" s="173">
        <f>IF($A$1="",0,K9)</f>
        <v>2.2000000000000002</v>
      </c>
      <c r="L11" s="173">
        <f>IF($A$1="",0,L9)</f>
        <v>0.6</v>
      </c>
      <c r="N11" s="173">
        <f>IF($A$1="",0,N9)</f>
        <v>1.1000000000000001</v>
      </c>
      <c r="O11" s="173">
        <f>IF($A$1="",0,O9)</f>
        <v>2.2000000000000002</v>
      </c>
      <c r="Q11" s="173">
        <f>IF($A$1="",0,Q9)</f>
        <v>1.1000000000000001</v>
      </c>
      <c r="R11" s="173">
        <f>IF($A$1="",0,R9)</f>
        <v>0.6</v>
      </c>
    </row>
    <row r="12" spans="1:22" x14ac:dyDescent="0.25">
      <c r="B12" s="173">
        <f>IF($A$1="",0,G3)</f>
        <v>0.65</v>
      </c>
      <c r="C12" s="173">
        <f>IF($A$1="",0,C11)</f>
        <v>0.6</v>
      </c>
      <c r="E12" s="173">
        <f>IF($A$1="",0,E11)</f>
        <v>-0.25</v>
      </c>
      <c r="F12" s="173">
        <f>IF($A$1="",0,F6)</f>
        <v>4.5</v>
      </c>
      <c r="H12" s="173">
        <f>IF($A$1="",0,G3)</f>
        <v>0.65</v>
      </c>
      <c r="I12" s="173">
        <f>IF($A$1="",0,I11)</f>
        <v>0.6</v>
      </c>
      <c r="K12" s="173">
        <f>IF($A$1="",0,(C3/2)+(F3/2))</f>
        <v>1.3</v>
      </c>
      <c r="L12" s="173">
        <f>IF($A$1="",0,L11)</f>
        <v>0.6</v>
      </c>
      <c r="N12" s="173">
        <f>IF($A$1="",0,N5)</f>
        <v>0</v>
      </c>
      <c r="O12" s="173">
        <f>IF($A$1="",0,O11)</f>
        <v>2.2000000000000002</v>
      </c>
      <c r="Q12" s="173">
        <f>IF($A$1="",0,G3)</f>
        <v>0.65</v>
      </c>
      <c r="R12" s="173">
        <f>IF($A$1="",0,R11)</f>
        <v>0.6</v>
      </c>
    </row>
    <row r="14" spans="1:22" x14ac:dyDescent="0.25">
      <c r="B14" s="173">
        <f>IF($A$1="",0,B12)</f>
        <v>0.65</v>
      </c>
      <c r="C14" s="173">
        <f>IF($A$1="",0,C12)</f>
        <v>0.6</v>
      </c>
      <c r="E14" s="173">
        <f>IF($A$1="",0,E8)</f>
        <v>-0.1</v>
      </c>
      <c r="F14" s="173">
        <f>IF($A$1="",0,F12)</f>
        <v>4.5</v>
      </c>
      <c r="H14" s="173">
        <f>IF($A$1="",0,H12)</f>
        <v>0.65</v>
      </c>
      <c r="I14" s="173">
        <f>IF($A$1="",0,I12)</f>
        <v>0.6</v>
      </c>
      <c r="K14" s="173">
        <f>IF($A$1="",0,K12)</f>
        <v>1.3</v>
      </c>
      <c r="L14" s="173">
        <f>IF($A$1="",0,L12)</f>
        <v>0.6</v>
      </c>
      <c r="N14" s="173">
        <f>IF($A$1="",0,N12)</f>
        <v>0</v>
      </c>
      <c r="O14" s="173">
        <f>IF($A$1="",0,O12)</f>
        <v>2.2000000000000002</v>
      </c>
      <c r="Q14" s="173">
        <f>IF($A$1="",0,Q12)</f>
        <v>0.65</v>
      </c>
      <c r="R14" s="173">
        <f>IF($A$1="",0,R12)</f>
        <v>0.6</v>
      </c>
    </row>
    <row r="15" spans="1:22" x14ac:dyDescent="0.25">
      <c r="B15" s="173">
        <f>IF($A$1="",0,B14)</f>
        <v>0.65</v>
      </c>
      <c r="C15" s="173">
        <f>IF($A$1="",0,H3-0.25)</f>
        <v>4.25</v>
      </c>
      <c r="E15" s="173">
        <f>IF($A$1="",0,E9)</f>
        <v>-0.4</v>
      </c>
      <c r="F15" s="173">
        <f>IF($A$1="",0,F14)</f>
        <v>4.5</v>
      </c>
      <c r="H15" s="173">
        <f>IF($A$1="",0,H14)</f>
        <v>0.65</v>
      </c>
      <c r="I15" s="173">
        <f>IF($A$1="",0,I14+0.7)</f>
        <v>1.2999999999999998</v>
      </c>
      <c r="K15" s="173">
        <f>IF($A$1="",0,K14)</f>
        <v>1.3</v>
      </c>
      <c r="L15" s="173">
        <f>IF($A$1="",0,L14+0.7)</f>
        <v>1.2999999999999998</v>
      </c>
      <c r="N15" s="173">
        <f>IF($A$1="",0,N14)</f>
        <v>0</v>
      </c>
      <c r="O15" s="173">
        <f>IF($A$1="",0,O5)</f>
        <v>0</v>
      </c>
      <c r="Q15" s="173">
        <f>IF($A$1="",0,Q14)</f>
        <v>0.65</v>
      </c>
      <c r="R15" s="173">
        <f>IF($A$1="",0,R14+1.4)</f>
        <v>2</v>
      </c>
    </row>
    <row r="17" spans="2:18" x14ac:dyDescent="0.25">
      <c r="B17" s="173">
        <f>IF($A$1="",0,B5)</f>
        <v>0</v>
      </c>
      <c r="C17" s="173">
        <f>IF($A$1="",0,C5)</f>
        <v>0</v>
      </c>
      <c r="D17" s="177">
        <f>IF(H3=0,"",H3)</f>
        <v>4.5</v>
      </c>
      <c r="E17" s="173">
        <f>IF($A$1="",0,E11)</f>
        <v>-0.25</v>
      </c>
      <c r="F17" s="173">
        <f>IF($A$1="",0,H3/2)</f>
        <v>2.25</v>
      </c>
      <c r="H17" s="173">
        <f>IF($A$1="",0,H15+0.1)</f>
        <v>0.75</v>
      </c>
      <c r="I17" s="173">
        <f>IF($A$1="",0,I15)</f>
        <v>1.2999999999999998</v>
      </c>
      <c r="K17" s="173">
        <f>IF($A$1="",0,K15+0.1)</f>
        <v>1.4000000000000001</v>
      </c>
      <c r="L17" s="173">
        <f>IF($A$1="",0,L15)</f>
        <v>1.2999999999999998</v>
      </c>
      <c r="N17" s="173">
        <f>IF($A$1="",0,N15)</f>
        <v>0</v>
      </c>
      <c r="O17" s="173">
        <f>IF($A$1="",0,C3/2-F3/2)</f>
        <v>0.90000000000000013</v>
      </c>
      <c r="Q17" s="173">
        <f>IF($A$1="",0,Q15+0.1)</f>
        <v>0.75</v>
      </c>
      <c r="R17" s="173">
        <f>IF($A$1="",0,R15)</f>
        <v>2</v>
      </c>
    </row>
    <row r="18" spans="2:18" x14ac:dyDescent="0.25">
      <c r="B18" s="173">
        <f>IF($A$1="",0,B17)</f>
        <v>0</v>
      </c>
      <c r="C18" s="173">
        <f>IF($A$1="",0,H3+1)</f>
        <v>5.5</v>
      </c>
      <c r="H18" s="173">
        <f>IF($A$1="",0,(G3/2)+0.05)</f>
        <v>0.375</v>
      </c>
      <c r="I18" s="173">
        <f>IF($A$1="",0,I17)</f>
        <v>1.2999999999999998</v>
      </c>
      <c r="K18" s="173">
        <f>IF($A$1="",0,(C3/2)+0.05)</f>
        <v>1.1500000000000001</v>
      </c>
      <c r="L18" s="173">
        <f>IF($A$1="",0,L17)</f>
        <v>1.2999999999999998</v>
      </c>
      <c r="N18" s="173">
        <f>IF($A$1="",0,G3)</f>
        <v>0.65</v>
      </c>
      <c r="O18" s="173">
        <f>IF($A$1="",0,O17)</f>
        <v>0.90000000000000013</v>
      </c>
      <c r="Q18" s="173">
        <f>IF($A$1="",0,(G3/2)+0.05)</f>
        <v>0.375</v>
      </c>
      <c r="R18" s="173">
        <f>IF($A$1="",0,R17)</f>
        <v>2</v>
      </c>
    </row>
    <row r="19" spans="2:18" x14ac:dyDescent="0.25">
      <c r="E19" s="173">
        <f>IF($A$1="",0,G3+0.05)</f>
        <v>0.70000000000000007</v>
      </c>
      <c r="F19" s="173">
        <f>IF($A$1="",0,I3)</f>
        <v>1.2</v>
      </c>
    </row>
    <row r="20" spans="2:18" x14ac:dyDescent="0.25">
      <c r="B20" s="173">
        <f>IF($A$1="",0,B12)</f>
        <v>0.65</v>
      </c>
      <c r="C20" s="173">
        <f>IF($A$1="",0,H3-0.25)</f>
        <v>4.25</v>
      </c>
      <c r="E20" s="173">
        <f>IF($A$1="",0,B21-0.05)</f>
        <v>3.45</v>
      </c>
      <c r="F20" s="173">
        <f>IF($A$1="",0,F19)</f>
        <v>1.2</v>
      </c>
      <c r="H20" s="173">
        <f>IF($A$1="",0,H18)</f>
        <v>0.375</v>
      </c>
      <c r="I20" s="173">
        <f>IF($A$1="",0,I18)</f>
        <v>1.2999999999999998</v>
      </c>
      <c r="K20" s="173">
        <f>IF($A$1="",0,K18)</f>
        <v>1.1500000000000001</v>
      </c>
      <c r="L20" s="173">
        <f>IF($A$1="",0,L18)</f>
        <v>1.2999999999999998</v>
      </c>
      <c r="N20" s="173">
        <f>IF($A$1="",0,N18)</f>
        <v>0.65</v>
      </c>
      <c r="O20" s="173">
        <f>IF($A$1="",0,O18)</f>
        <v>0.90000000000000013</v>
      </c>
      <c r="Q20" s="173">
        <f>IF($A$1="",0,Q18)</f>
        <v>0.375</v>
      </c>
      <c r="R20" s="173">
        <f>IF($A$1="",0,R18)</f>
        <v>2</v>
      </c>
    </row>
    <row r="21" spans="2:18" x14ac:dyDescent="0.25">
      <c r="B21" s="173">
        <f>IF($A$1="",0,3.5)</f>
        <v>3.5</v>
      </c>
      <c r="C21" s="173">
        <f>IF($A$1="",0,H3-0.25)</f>
        <v>4.25</v>
      </c>
      <c r="H21" s="173">
        <f>IF($A$1="",0,H20)</f>
        <v>0.375</v>
      </c>
      <c r="I21" s="173">
        <f>IF($A$1="",0,I20-0.15)</f>
        <v>1.1499999999999999</v>
      </c>
      <c r="K21" s="173">
        <f>IF($A$1="",0,K20)</f>
        <v>1.1500000000000001</v>
      </c>
      <c r="L21" s="173">
        <f>IF($A$1="",0,L20-0.15)</f>
        <v>1.1499999999999999</v>
      </c>
      <c r="N21" s="173">
        <f>IF($A$1="",0,N20)</f>
        <v>0.65</v>
      </c>
      <c r="O21" s="173">
        <f>IF($A$1="",0,O20+F3)</f>
        <v>1.3000000000000003</v>
      </c>
      <c r="Q21" s="173">
        <f>IF($A$1="",0,Q20)</f>
        <v>0.375</v>
      </c>
      <c r="R21" s="173">
        <f>IF($A$1="",0,R20-0.15)</f>
        <v>1.85</v>
      </c>
    </row>
    <row r="22" spans="2:18" x14ac:dyDescent="0.25">
      <c r="D22" s="178">
        <f>IF(J3=0,"",J3)</f>
        <v>400</v>
      </c>
      <c r="E22" s="173">
        <f>IF($A$1="",0,G3+((E20-E19)/2))</f>
        <v>2.0249999999999999</v>
      </c>
      <c r="F22" s="173">
        <f>IF($A$1="",0,F20)</f>
        <v>1.2</v>
      </c>
    </row>
    <row r="23" spans="2:18" x14ac:dyDescent="0.25">
      <c r="B23" s="173">
        <f>IF($A$1="",0,B21)</f>
        <v>3.5</v>
      </c>
      <c r="C23" s="173">
        <f>IF($A$1="",0,C21+0.5)</f>
        <v>4.75</v>
      </c>
      <c r="H23" s="173">
        <f>IF($A$1="",0,H21)</f>
        <v>0.375</v>
      </c>
      <c r="I23" s="173">
        <f>IF($A$1="",0,I21)</f>
        <v>1.1499999999999999</v>
      </c>
      <c r="K23" s="173">
        <f>IF($A$1="",0,K21)</f>
        <v>1.1500000000000001</v>
      </c>
      <c r="L23" s="173">
        <f>IF($A$1="",0,L21)</f>
        <v>1.1499999999999999</v>
      </c>
      <c r="N23" s="173">
        <f>IF($A$1="",0,N21)</f>
        <v>0.65</v>
      </c>
      <c r="O23" s="173">
        <f>IF($A$1="",0,O21)</f>
        <v>1.3000000000000003</v>
      </c>
      <c r="Q23" s="173">
        <f>IF($A$1="",0,Q21)</f>
        <v>0.375</v>
      </c>
      <c r="R23" s="173">
        <f>IF($A$1="",0,R21)</f>
        <v>1.85</v>
      </c>
    </row>
    <row r="24" spans="2:18" x14ac:dyDescent="0.25">
      <c r="B24" s="173">
        <f>IF($A$1="",0,B20)</f>
        <v>0.65</v>
      </c>
      <c r="C24" s="173">
        <f>IF($A$1="",0,C23)</f>
        <v>4.75</v>
      </c>
      <c r="E24" s="173">
        <f>IF($A$1="",0,G3/2)</f>
        <v>0.32500000000000001</v>
      </c>
      <c r="F24" s="173">
        <f>IF($A$1="",0,D3)</f>
        <v>0.6</v>
      </c>
      <c r="H24" s="173">
        <f>IF($A$1="",0,(G3/2)-0.05)</f>
        <v>0.27500000000000002</v>
      </c>
      <c r="I24" s="173">
        <f>IF($A$1="",0,I20+0.15)</f>
        <v>1.4499999999999997</v>
      </c>
      <c r="K24" s="173">
        <f>IF($A$1="",0,(C3/2)-0.05)</f>
        <v>1.05</v>
      </c>
      <c r="L24" s="173">
        <f>IF($A$1="",0,L20+0.15)</f>
        <v>1.4499999999999997</v>
      </c>
      <c r="N24" s="173">
        <f>IF($A$1="",0,N17)</f>
        <v>0</v>
      </c>
      <c r="O24" s="173">
        <f>IF($A$1="",0,O23)</f>
        <v>1.3000000000000003</v>
      </c>
      <c r="Q24" s="173">
        <f>IF($A$1="",0,(G3/2)-0.05)</f>
        <v>0.27500000000000002</v>
      </c>
      <c r="R24" s="173">
        <f>IF($A$1="",0,R20+0.15)</f>
        <v>2.15</v>
      </c>
    </row>
    <row r="25" spans="2:18" x14ac:dyDescent="0.25">
      <c r="D25" s="179">
        <f>IF(E3=0,"",E3)</f>
        <v>79.37</v>
      </c>
      <c r="E25" s="173">
        <f>IF($A$1="",0,G3/2)</f>
        <v>0.32500000000000001</v>
      </c>
      <c r="F25" s="173">
        <f>IF($A$1="",0,F17+0.5)</f>
        <v>2.75</v>
      </c>
    </row>
    <row r="26" spans="2:18" x14ac:dyDescent="0.25">
      <c r="B26" s="173">
        <f>IF($A$1="",0,B24)</f>
        <v>0.65</v>
      </c>
      <c r="C26" s="173">
        <f>IF($A$1="",0,C24)</f>
        <v>4.75</v>
      </c>
      <c r="H26" s="173">
        <f>IF($A$1="",0,H24)</f>
        <v>0.27500000000000002</v>
      </c>
      <c r="I26" s="173">
        <f>IF($A$1="",0,I24)</f>
        <v>1.4499999999999997</v>
      </c>
      <c r="K26" s="173">
        <f>IF($A$1="",0,K24)</f>
        <v>1.05</v>
      </c>
      <c r="L26" s="173">
        <f>IF($A$1="",0,L24)</f>
        <v>1.4499999999999997</v>
      </c>
      <c r="N26" s="173">
        <f>IF($A$1="",0,G3/2-0.1)</f>
        <v>0.22500000000000001</v>
      </c>
      <c r="O26" s="173">
        <f>IF($A$1="",0,C3/2)</f>
        <v>1.1000000000000001</v>
      </c>
      <c r="Q26" s="173">
        <f>IF($A$1="",0,Q24)</f>
        <v>0.27500000000000002</v>
      </c>
      <c r="R26" s="173">
        <f>IF($A$1="",0,R24)</f>
        <v>2.15</v>
      </c>
    </row>
    <row r="27" spans="2:18" x14ac:dyDescent="0.25">
      <c r="B27" s="173">
        <f>IF($A$1="",0,B26)</f>
        <v>0.65</v>
      </c>
      <c r="C27" s="173">
        <f>IF($A$1="",0,C18)</f>
        <v>5.5</v>
      </c>
      <c r="E27" s="173">
        <f>IF($A$1="",0,B5)</f>
        <v>0</v>
      </c>
      <c r="F27" s="173">
        <f>IF($A$1="",0,E8)</f>
        <v>-0.1</v>
      </c>
      <c r="H27" s="173">
        <f>IF($A$1="",0,H26)</f>
        <v>0.27500000000000002</v>
      </c>
      <c r="I27" s="173">
        <f>IF($A$1="",0,I26-0.15)</f>
        <v>1.2999999999999998</v>
      </c>
      <c r="K27" s="173">
        <f>IF($A$1="",0,K26)</f>
        <v>1.05</v>
      </c>
      <c r="L27" s="173">
        <f>IF($A$1="",0,L26-0.15)</f>
        <v>1.2999999999999998</v>
      </c>
      <c r="N27" s="173">
        <f>IF($A$1="",0,G3/2+0.1)</f>
        <v>0.42500000000000004</v>
      </c>
      <c r="O27" s="173">
        <f>IF($A$1="",0,O26)</f>
        <v>1.1000000000000001</v>
      </c>
      <c r="Q27" s="173">
        <f>IF($A$1="",0,Q26)</f>
        <v>0.27500000000000002</v>
      </c>
      <c r="R27" s="173">
        <f>IF($A$1="",0,R26-0.15)</f>
        <v>2</v>
      </c>
    </row>
    <row r="28" spans="2:18" x14ac:dyDescent="0.25">
      <c r="E28" s="173">
        <f>IF($A$1="",0,B5)</f>
        <v>0</v>
      </c>
      <c r="F28" s="173">
        <f>IF($A$1="",0,E9+0.1)</f>
        <v>-0.30000000000000004</v>
      </c>
    </row>
    <row r="29" spans="2:18" x14ac:dyDescent="0.25">
      <c r="B29" s="173">
        <f>IF($A$1="",0,B18-0.1)</f>
        <v>-0.1</v>
      </c>
      <c r="C29" s="173">
        <f>IF($A$1="",0,C18)</f>
        <v>5.5</v>
      </c>
      <c r="H29" s="173">
        <f>IF($A$1="",0,H27)</f>
        <v>0.27500000000000002</v>
      </c>
      <c r="I29" s="173">
        <f>IF($A$1="",0,I27)</f>
        <v>1.2999999999999998</v>
      </c>
      <c r="K29" s="173">
        <f>IF($A$1="",0,K27)</f>
        <v>1.05</v>
      </c>
      <c r="L29" s="173">
        <f>IF($A$1="",0,L27)</f>
        <v>1.2999999999999998</v>
      </c>
      <c r="N29" s="173">
        <f>IF($A$1="",0,N20/2)</f>
        <v>0.32500000000000001</v>
      </c>
      <c r="O29" s="173">
        <f>IF($A$1="",0,O27-0.075)</f>
        <v>1.0250000000000001</v>
      </c>
      <c r="Q29" s="173">
        <f>IF($A$1="",0,Q27)</f>
        <v>0.27500000000000002</v>
      </c>
      <c r="R29" s="173">
        <f>IF($A$1="",0,R27)</f>
        <v>2</v>
      </c>
    </row>
    <row r="30" spans="2:18" x14ac:dyDescent="0.25">
      <c r="B30" s="173">
        <f>IF($A$1="",0,B18+0.2)</f>
        <v>0.2</v>
      </c>
      <c r="C30" s="173">
        <f>IF($A$1="",0,C29)</f>
        <v>5.5</v>
      </c>
      <c r="E30" s="173">
        <f>IF($A$1="",0,E28)</f>
        <v>0</v>
      </c>
      <c r="F30" s="173">
        <f>IF($A$1="",0,E12)</f>
        <v>-0.25</v>
      </c>
      <c r="H30" s="173">
        <f>IF($A$1="",0,-0.1)</f>
        <v>-0.1</v>
      </c>
      <c r="I30" s="173">
        <f>IF($A$1="",0,I29)</f>
        <v>1.2999999999999998</v>
      </c>
      <c r="K30" s="173">
        <f>IF($A$1="",0,(C3/2)-(F3/2)-0.1)</f>
        <v>0.80000000000000016</v>
      </c>
      <c r="L30" s="173">
        <f>IF($A$1="",0,L29)</f>
        <v>1.2999999999999998</v>
      </c>
      <c r="N30" s="173">
        <f>IF($A$1="",0,N29)</f>
        <v>0.32500000000000001</v>
      </c>
      <c r="O30" s="173">
        <f>IF($A$1="",0,O27+0.075)</f>
        <v>1.175</v>
      </c>
      <c r="Q30" s="173">
        <f>IF($A$1="",0,-0.1)</f>
        <v>-0.1</v>
      </c>
      <c r="R30" s="173">
        <f>IF($A$1="",0,R29)</f>
        <v>2</v>
      </c>
    </row>
    <row r="31" spans="2:18" x14ac:dyDescent="0.25">
      <c r="E31" s="173">
        <f>IF($A$1="",0,B3)</f>
        <v>1.1000000000000001</v>
      </c>
      <c r="F31" s="173">
        <f>IF($A$1="",0,F30)</f>
        <v>-0.25</v>
      </c>
    </row>
    <row r="32" spans="2:18" x14ac:dyDescent="0.25">
      <c r="B32" s="173">
        <f>IF($A$1="",0,B30)</f>
        <v>0.2</v>
      </c>
      <c r="C32" s="173">
        <f>IF($A$1="",0,C30)</f>
        <v>5.5</v>
      </c>
      <c r="H32" s="173">
        <f>IF($A$1="",0,0)</f>
        <v>0</v>
      </c>
      <c r="I32" s="173">
        <f>IF($A$1="",0,I30)</f>
        <v>1.2999999999999998</v>
      </c>
      <c r="K32" s="173">
        <f>IF($A$1="",0,(C3/2)-(F3/2))</f>
        <v>0.90000000000000013</v>
      </c>
      <c r="L32" s="173">
        <f>IF($A$1="",0,L30)</f>
        <v>1.2999999999999998</v>
      </c>
      <c r="M32" s="180">
        <f>IF(F3=0,"",F3)</f>
        <v>0.4</v>
      </c>
      <c r="N32" s="173">
        <f>IF($A$1="",0,N23-0.05)</f>
        <v>0.6</v>
      </c>
      <c r="O32" s="173">
        <f>IF($A$1="",0,O26)</f>
        <v>1.1000000000000001</v>
      </c>
      <c r="Q32" s="173">
        <f>IF($A$1="",0,0)</f>
        <v>0</v>
      </c>
      <c r="R32" s="173">
        <f>IF($A$1="",0,R30)</f>
        <v>2</v>
      </c>
    </row>
    <row r="33" spans="2:18" x14ac:dyDescent="0.25">
      <c r="B33" s="173">
        <f>IF($A$1="",0,B32)</f>
        <v>0.2</v>
      </c>
      <c r="C33" s="173">
        <f>IF($A$1="",0,C32+0.15)</f>
        <v>5.65</v>
      </c>
      <c r="E33" s="173">
        <f>IF($A$1="",0,E31)</f>
        <v>1.1000000000000001</v>
      </c>
      <c r="F33" s="173">
        <f>IF($A$1="",0,F27)</f>
        <v>-0.1</v>
      </c>
      <c r="H33" s="173">
        <f>IF($A$1="",0,0)</f>
        <v>0</v>
      </c>
      <c r="I33" s="173">
        <f>IF($A$1="",0,I31)</f>
        <v>0</v>
      </c>
      <c r="K33" s="173">
        <f>IF($A$1="",0,K32)</f>
        <v>0.90000000000000013</v>
      </c>
      <c r="L33" s="173">
        <f>IF($A$1="",0,L14)</f>
        <v>0.6</v>
      </c>
      <c r="M33" s="180">
        <f>IF(G3=0,"",G3)</f>
        <v>0.65</v>
      </c>
      <c r="N33" s="173">
        <f>IF($A$1="",0,G3/2)</f>
        <v>0.32500000000000001</v>
      </c>
      <c r="O33" s="173">
        <f>IF($A$1="",0,O20+0.05)</f>
        <v>0.95000000000000018</v>
      </c>
      <c r="Q33" s="173">
        <f>IF($A$1="",0,0)</f>
        <v>0</v>
      </c>
      <c r="R33" s="173">
        <f>IF($A$1="",0,R31)</f>
        <v>0</v>
      </c>
    </row>
    <row r="34" spans="2:18" x14ac:dyDescent="0.25">
      <c r="E34" s="173">
        <f>IF($A$1="",0,E31)</f>
        <v>1.1000000000000001</v>
      </c>
      <c r="F34" s="173">
        <f>IF($A$1="",0,F28)</f>
        <v>-0.30000000000000004</v>
      </c>
    </row>
    <row r="35" spans="2:18" x14ac:dyDescent="0.25">
      <c r="B35" s="173">
        <f>IF($A$1="",0,B33)</f>
        <v>0.2</v>
      </c>
      <c r="C35" s="173">
        <f>IF($A$1="",0,C33)</f>
        <v>5.65</v>
      </c>
      <c r="H35" s="173">
        <f>IF($A$1="",0,0)</f>
        <v>0</v>
      </c>
      <c r="I35" s="173">
        <f>IF($A$1="",0,0)</f>
        <v>0</v>
      </c>
      <c r="K35" s="173">
        <f>IF($A$1="",0,K33)</f>
        <v>0.90000000000000013</v>
      </c>
      <c r="L35" s="173">
        <f>IF($A$1="",0,L33)</f>
        <v>0.6</v>
      </c>
      <c r="N35" s="173">
        <f>IF($A$1="",0,0.075)</f>
        <v>7.4999999999999997E-2</v>
      </c>
      <c r="O35" s="173">
        <f>IF($A$1="",0,0.225)</f>
        <v>0.22500000000000001</v>
      </c>
      <c r="Q35" s="173">
        <f>IF($A$1="",0,G3)</f>
        <v>0.65</v>
      </c>
      <c r="R35" s="173">
        <f>IF($A$1="",0,I3)</f>
        <v>1.2</v>
      </c>
    </row>
    <row r="36" spans="2:18" x14ac:dyDescent="0.25">
      <c r="B36" s="173">
        <f>IF($A$1="",0,B35+0.1)</f>
        <v>0.30000000000000004</v>
      </c>
      <c r="C36" s="173">
        <f>IF($A$1="",0,C32-0.15)</f>
        <v>5.35</v>
      </c>
      <c r="D36" s="177">
        <f>IF(B3=0,"",B3)</f>
        <v>1.1000000000000001</v>
      </c>
      <c r="E36" s="173">
        <f>IF($A$1="",0,E31/2)</f>
        <v>0.55000000000000004</v>
      </c>
      <c r="F36" s="173">
        <f>IF($A$1="",0,F30)</f>
        <v>-0.25</v>
      </c>
      <c r="H36" s="173">
        <f>IF($A$1="",0,0)</f>
        <v>0</v>
      </c>
      <c r="I36" s="173">
        <f>IF($A$1="",0,-D3*1/3)</f>
        <v>-0.19999999999999998</v>
      </c>
      <c r="K36" s="173">
        <f>IF($A$1="",0,0)</f>
        <v>0</v>
      </c>
      <c r="L36" s="173">
        <f>IF($A$1="",0,L35)</f>
        <v>0.6</v>
      </c>
      <c r="N36" s="173">
        <f>IF($A$1="",0,N35)</f>
        <v>7.4999999999999997E-2</v>
      </c>
      <c r="O36" s="173">
        <f>IF($A$1="",0,0.075)</f>
        <v>7.4999999999999997E-2</v>
      </c>
      <c r="Q36" s="173">
        <f>IF($A$1="",0,Q35*2)</f>
        <v>1.3</v>
      </c>
      <c r="R36" s="173">
        <f>IF($A$1="",0,R35)</f>
        <v>1.2</v>
      </c>
    </row>
    <row r="38" spans="2:18" x14ac:dyDescent="0.25">
      <c r="B38" s="173">
        <f>IF($A$1="",0,B36)</f>
        <v>0.30000000000000004</v>
      </c>
      <c r="C38" s="173">
        <f>IF($A$1="",0,C36)</f>
        <v>5.35</v>
      </c>
      <c r="E38" s="173">
        <f>IF($A$1="",0,E31+0.1)</f>
        <v>1.2000000000000002</v>
      </c>
      <c r="F38" s="173">
        <f>IF($A$1="",0,C5)</f>
        <v>0</v>
      </c>
      <c r="H38" s="173">
        <f>IF($A$1="",0,H36)</f>
        <v>0</v>
      </c>
      <c r="I38" s="173">
        <f>IF($A$1="",0,I36)</f>
        <v>-0.19999999999999998</v>
      </c>
      <c r="K38" s="173">
        <f>IF($A$1="",0,K36)</f>
        <v>0</v>
      </c>
      <c r="L38" s="173">
        <f>IF($A$1="",0,L36)</f>
        <v>0.6</v>
      </c>
      <c r="N38" s="173">
        <f>IF($A$1="",0,N36)</f>
        <v>7.4999999999999997E-2</v>
      </c>
      <c r="O38" s="173">
        <f>IF($A$1="",0,O36)</f>
        <v>7.4999999999999997E-2</v>
      </c>
      <c r="Q38" s="173">
        <f>IF($A$1="",0,Q36)</f>
        <v>1.3</v>
      </c>
      <c r="R38" s="173">
        <f>IF($A$1="",0,R36)</f>
        <v>1.2</v>
      </c>
    </row>
    <row r="39" spans="2:18" x14ac:dyDescent="0.25">
      <c r="B39" s="173">
        <f>IF($A$1="",0,B38)</f>
        <v>0.30000000000000004</v>
      </c>
      <c r="C39" s="173">
        <f>IF($A$1="",0,C32)</f>
        <v>5.5</v>
      </c>
      <c r="E39" s="173">
        <f>IF($A$1="",0,E38+0.2)</f>
        <v>1.4000000000000001</v>
      </c>
      <c r="F39" s="173">
        <f>IF($A$1="",0,F38)</f>
        <v>0</v>
      </c>
      <c r="H39" s="173">
        <f>IF($A$1="",0,B3)</f>
        <v>1.1000000000000001</v>
      </c>
      <c r="I39" s="173">
        <f>IF($A$1="",0,I38)</f>
        <v>-0.19999999999999998</v>
      </c>
      <c r="K39" s="173">
        <f>IF($A$1="",0,0)</f>
        <v>0</v>
      </c>
      <c r="L39" s="173">
        <f>IF($A$1="",0,0)</f>
        <v>0</v>
      </c>
      <c r="N39" s="173">
        <f>IF($A$1="",0,B3-0.05)</f>
        <v>1.05</v>
      </c>
      <c r="O39" s="173">
        <f>IF($A$1="",0,0.075)</f>
        <v>7.4999999999999997E-2</v>
      </c>
      <c r="Q39" s="173">
        <f>IF($A$1="",0,Q38)</f>
        <v>1.3</v>
      </c>
      <c r="R39" s="173">
        <f>IF($A$1="",0,R38+0.1)</f>
        <v>1.3</v>
      </c>
    </row>
    <row r="41" spans="2:18" x14ac:dyDescent="0.25">
      <c r="B41" s="173">
        <f>IF($A$1="",0,B39)</f>
        <v>0.30000000000000004</v>
      </c>
      <c r="C41" s="173">
        <f>IF($A$1="",0,C39)</f>
        <v>5.5</v>
      </c>
      <c r="E41" s="173">
        <f>IF($A$1="",0,E39-0.07)</f>
        <v>1.33</v>
      </c>
      <c r="F41" s="173">
        <f>IF($A$1="",0,F39)</f>
        <v>0</v>
      </c>
      <c r="G41" s="181">
        <f>IF(K3=0,"",K3)</f>
        <v>106.75</v>
      </c>
      <c r="H41" s="173">
        <f>IF($A$1="",0,H39)</f>
        <v>1.1000000000000001</v>
      </c>
      <c r="I41" s="173">
        <f>IF($A$1="",0,I39)</f>
        <v>-0.19999999999999998</v>
      </c>
      <c r="K41" s="173">
        <f>IF($A$1="",0,0)</f>
        <v>0</v>
      </c>
      <c r="L41" s="173">
        <f>IF($A$1="",0,0)</f>
        <v>0</v>
      </c>
      <c r="N41" s="173">
        <f>IF($A$1="",0,N39)</f>
        <v>1.05</v>
      </c>
      <c r="O41" s="173">
        <f>IF($A$1="",0,O39)</f>
        <v>7.4999999999999997E-2</v>
      </c>
      <c r="Q41" s="173">
        <f>IF($A$1="",0,Q39)</f>
        <v>1.3</v>
      </c>
      <c r="R41" s="173">
        <f>IF($A$1="",0,R39)</f>
        <v>1.3</v>
      </c>
    </row>
    <row r="42" spans="2:18" x14ac:dyDescent="0.25">
      <c r="B42" s="173">
        <f>IF($A$1="",0,B20+0.1)</f>
        <v>0.75</v>
      </c>
      <c r="C42" s="173">
        <f>IF($A$1="",0,C18)</f>
        <v>5.5</v>
      </c>
      <c r="E42" s="173">
        <f>IF($A$1="",0,E41)</f>
        <v>1.33</v>
      </c>
      <c r="F42" s="173">
        <f>IF($A$1="",0,D3)</f>
        <v>0.6</v>
      </c>
      <c r="H42" s="173">
        <f>IF($A$1="",0,H41)</f>
        <v>1.1000000000000001</v>
      </c>
      <c r="I42" s="173">
        <f>IF($A$1="",0,0)</f>
        <v>0</v>
      </c>
      <c r="K42" s="173">
        <f>IF($A$1="",0,0)</f>
        <v>0</v>
      </c>
      <c r="L42" s="173">
        <f>IF($A$1="",0,-D3*1/3)</f>
        <v>-0.19999999999999998</v>
      </c>
      <c r="N42" s="173">
        <f>IF($A$1="",0,N41)</f>
        <v>1.05</v>
      </c>
      <c r="O42" s="173">
        <f>IF($A$1="",0,O35)</f>
        <v>0.22500000000000001</v>
      </c>
      <c r="Q42" s="173">
        <f>IF($A$1="",0,Q35)</f>
        <v>0.65</v>
      </c>
      <c r="R42" s="173">
        <f>IF($A$1="",0,R41)</f>
        <v>1.3</v>
      </c>
    </row>
    <row r="44" spans="2:18" x14ac:dyDescent="0.25">
      <c r="B44" s="173">
        <f>IF($A$1="",0,B21)</f>
        <v>3.5</v>
      </c>
      <c r="C44" s="173">
        <f>IF($A$1="",0,C21-0.1)</f>
        <v>4.1500000000000004</v>
      </c>
      <c r="E44" s="173">
        <f>IF($A$1="",0,E38)</f>
        <v>1.2000000000000002</v>
      </c>
      <c r="F44" s="173">
        <f>IF($A$1="",0,F42)</f>
        <v>0.6</v>
      </c>
      <c r="H44" s="173">
        <f>IF($A$1="",0,H42*1/6)</f>
        <v>0.18333333333333335</v>
      </c>
      <c r="I44" s="173">
        <f>IF($A$1="",0,I41)</f>
        <v>-0.19999999999999998</v>
      </c>
      <c r="K44" s="173">
        <f>IF($A$1="",0,K42)</f>
        <v>0</v>
      </c>
      <c r="L44" s="173">
        <f>IF($A$1="",0,L42)</f>
        <v>-0.19999999999999998</v>
      </c>
      <c r="N44" s="173">
        <f>IF($A$1="",0,B3-0.225)</f>
        <v>0.87500000000000011</v>
      </c>
      <c r="O44" s="173">
        <f>IF($A$1="",0,0.05)</f>
        <v>0.05</v>
      </c>
      <c r="P44" s="181" t="str">
        <f>IF(V3=0,"",V3)</f>
        <v>N.F.P</v>
      </c>
      <c r="Q44" s="173">
        <f>IF($A$1="",0,Q42+Q42*1/2)</f>
        <v>0.97500000000000009</v>
      </c>
      <c r="R44" s="173">
        <f>IF($A$1="",0,R42-0.05)</f>
        <v>1.25</v>
      </c>
    </row>
    <row r="45" spans="2:18" x14ac:dyDescent="0.25">
      <c r="B45" s="173">
        <f>IF($A$1="",0,B44)</f>
        <v>3.5</v>
      </c>
      <c r="C45" s="173">
        <f>IF($A$1="",0,H3-0.05)</f>
        <v>4.45</v>
      </c>
      <c r="E45" s="173">
        <f>IF($A$1="",0,E39)</f>
        <v>1.4000000000000001</v>
      </c>
      <c r="F45" s="173">
        <f>IF($A$1="",0,F44)</f>
        <v>0.6</v>
      </c>
      <c r="H45" s="173">
        <f>IF($A$1="",0,H44)</f>
        <v>0.18333333333333335</v>
      </c>
      <c r="I45" s="173">
        <f>IF($A$1="",0,0)</f>
        <v>0</v>
      </c>
      <c r="K45" s="173">
        <f>IF($A$1="",0,C3)</f>
        <v>2.2000000000000002</v>
      </c>
      <c r="L45" s="173">
        <f>IF($A$1="",0,L44)</f>
        <v>-0.19999999999999998</v>
      </c>
      <c r="N45" s="173">
        <f>IF($A$1="",0,B3-0.075)</f>
        <v>1.0250000000000001</v>
      </c>
      <c r="O45" s="173">
        <f>IF($A$1="",0,0.05)</f>
        <v>0.05</v>
      </c>
    </row>
    <row r="46" spans="2:18" x14ac:dyDescent="0.25">
      <c r="Q46" s="173">
        <f>IF($A$1="",0,0)</f>
        <v>0</v>
      </c>
      <c r="R46" s="173">
        <f>IF($A$1="",0,-0.1)</f>
        <v>-0.1</v>
      </c>
    </row>
    <row r="47" spans="2:18" x14ac:dyDescent="0.25">
      <c r="B47" s="173">
        <f>IF($A$1="",0,B45)</f>
        <v>3.5</v>
      </c>
      <c r="C47" s="173">
        <f>IF($A$1="",0,C45)</f>
        <v>4.45</v>
      </c>
      <c r="D47" s="177">
        <f>IF(D3=0,"",D3)</f>
        <v>0.6</v>
      </c>
      <c r="E47" s="173">
        <f>IF($A$1="",0,E42)</f>
        <v>1.33</v>
      </c>
      <c r="F47" s="173">
        <f>IF($A$1="",0,F42/2)</f>
        <v>0.3</v>
      </c>
      <c r="H47" s="173">
        <f>IF($A$1="",0,H42*2/6)</f>
        <v>0.3666666666666667</v>
      </c>
      <c r="I47" s="173">
        <f>IF($A$1="",0,I44)</f>
        <v>-0.19999999999999998</v>
      </c>
      <c r="J47" s="181">
        <f>IF(P3=0,"",P3)</f>
        <v>53.37</v>
      </c>
      <c r="K47" s="173">
        <f>IF($A$1="",0,K45)</f>
        <v>2.2000000000000002</v>
      </c>
      <c r="L47" s="173">
        <f>IF($A$1="",0,L45)</f>
        <v>-0.19999999999999998</v>
      </c>
      <c r="N47" s="173">
        <f>IF($A$1="",0,N45)</f>
        <v>1.0250000000000001</v>
      </c>
      <c r="O47" s="173">
        <f>IF($A$1="",0,O45)</f>
        <v>0.05</v>
      </c>
      <c r="Q47" s="173">
        <f>IF($A$1="",0,0)</f>
        <v>0</v>
      </c>
      <c r="R47" s="173">
        <f>IF($A$1="",0,R46-0.1)</f>
        <v>-0.2</v>
      </c>
    </row>
    <row r="48" spans="2:18" x14ac:dyDescent="0.25">
      <c r="B48" s="173">
        <f>IF($A$1="",0,B47-0.15)</f>
        <v>3.35</v>
      </c>
      <c r="C48" s="173">
        <f>IF($A$1="",0,C47)</f>
        <v>4.45</v>
      </c>
      <c r="H48" s="173">
        <f>IF($A$1="",0,H47)</f>
        <v>0.3666666666666667</v>
      </c>
      <c r="I48" s="173">
        <f>IF($A$1="",0,0)</f>
        <v>0</v>
      </c>
      <c r="K48" s="173">
        <f>IF($A$1="",0,K47)</f>
        <v>2.2000000000000002</v>
      </c>
      <c r="L48" s="173">
        <f>IF($A$1="",0,0)</f>
        <v>0</v>
      </c>
      <c r="N48" s="173">
        <f>IF($A$1="",0,N47)</f>
        <v>1.0250000000000001</v>
      </c>
      <c r="O48" s="173">
        <f>IF($A$1="",0,C3-0.075)</f>
        <v>2.125</v>
      </c>
    </row>
    <row r="49" spans="2:18" x14ac:dyDescent="0.25">
      <c r="E49" s="173">
        <f>IF($A$1="",0,B44+0.1)</f>
        <v>3.6</v>
      </c>
      <c r="F49" s="173">
        <f>IF($A$1="",0,C16)</f>
        <v>0</v>
      </c>
      <c r="Q49" s="173">
        <f>IF($A$1="",0,G17)</f>
        <v>0</v>
      </c>
      <c r="R49" s="173">
        <f>IF($A$1="",0,R46-0.05)</f>
        <v>-0.15000000000000002</v>
      </c>
    </row>
    <row r="50" spans="2:18" x14ac:dyDescent="0.25">
      <c r="B50" s="173">
        <f>IF($A$1="",0,B48)</f>
        <v>3.35</v>
      </c>
      <c r="C50" s="173">
        <f>IF($A$1="",0,C48)</f>
        <v>4.45</v>
      </c>
      <c r="E50" s="173">
        <f>IF($A$1="",0,E49+0.2)</f>
        <v>3.8000000000000003</v>
      </c>
      <c r="F50" s="173">
        <f>IF($A$1="",0,F49)</f>
        <v>0</v>
      </c>
      <c r="H50" s="173">
        <f>IF($A$1="",0,H41*3/6)</f>
        <v>0.55000000000000004</v>
      </c>
      <c r="I50" s="173">
        <f>IF($A$1="",0,I47)</f>
        <v>-0.19999999999999998</v>
      </c>
      <c r="K50" s="173">
        <f>IF($A$1="",0,K48*1/8)</f>
        <v>0.27500000000000002</v>
      </c>
      <c r="L50" s="173">
        <f>IF($A$1="",0,L47)</f>
        <v>-0.19999999999999998</v>
      </c>
      <c r="N50" s="173">
        <f>IF($A$1="",0,N48)</f>
        <v>1.0250000000000001</v>
      </c>
      <c r="O50" s="173">
        <f>IF($A$1="",0,O48)</f>
        <v>2.125</v>
      </c>
      <c r="Q50" s="173">
        <f>IF($A$1="",0,B3)</f>
        <v>1.1000000000000001</v>
      </c>
      <c r="R50" s="173">
        <f>IF($A$1="",0,R49)</f>
        <v>-0.15000000000000002</v>
      </c>
    </row>
    <row r="51" spans="2:18" x14ac:dyDescent="0.25">
      <c r="B51" s="173">
        <f>IF($A$1="",0,B50+0.3)</f>
        <v>3.65</v>
      </c>
      <c r="C51" s="173">
        <f>IF($A$1="",0,C50+0.1)</f>
        <v>4.55</v>
      </c>
      <c r="H51" s="173">
        <f>IF($A$1="",0,H50)</f>
        <v>0.55000000000000004</v>
      </c>
      <c r="I51" s="173">
        <f>IF($A$1="",0,0)</f>
        <v>0</v>
      </c>
      <c r="K51" s="173">
        <f>IF($A$1="",0,K50)</f>
        <v>0.27500000000000002</v>
      </c>
      <c r="L51" s="173">
        <f>IF($A$1="",0,0)</f>
        <v>0</v>
      </c>
      <c r="N51" s="173">
        <f>IF($A$1="",0,N44)</f>
        <v>0.87500000000000011</v>
      </c>
      <c r="O51" s="173">
        <f>IF($A$1="",0,O50)</f>
        <v>2.125</v>
      </c>
    </row>
    <row r="52" spans="2:18" x14ac:dyDescent="0.25">
      <c r="E52" s="173">
        <f>IF($A$1="",0,E50-0.07)</f>
        <v>3.7300000000000004</v>
      </c>
      <c r="F52" s="173">
        <f>IF($A$1="",0,F50)</f>
        <v>0</v>
      </c>
      <c r="Q52" s="173">
        <f>IF($A$1="",0,Q50)</f>
        <v>1.1000000000000001</v>
      </c>
      <c r="R52" s="173">
        <f>IF($A$1="",0,R46)</f>
        <v>-0.1</v>
      </c>
    </row>
    <row r="53" spans="2:18" x14ac:dyDescent="0.25">
      <c r="B53" s="173">
        <f>IF($A$1="",0,B51)</f>
        <v>3.65</v>
      </c>
      <c r="C53" s="173">
        <f>IF($A$1="",0,C51)</f>
        <v>4.55</v>
      </c>
      <c r="E53" s="173">
        <f>IF($A$1="",0,E52)</f>
        <v>3.7300000000000004</v>
      </c>
      <c r="F53" s="173">
        <f>IF($A$1="",0,I3)</f>
        <v>1.2</v>
      </c>
      <c r="H53" s="173">
        <f>IF($A$1="",0,H41*4/6)</f>
        <v>0.73333333333333339</v>
      </c>
      <c r="I53" s="173">
        <f>IF($A$1="",0,I50)</f>
        <v>-0.19999999999999998</v>
      </c>
      <c r="K53" s="173">
        <f>IF($A$1="",0,K48*2/8)</f>
        <v>0.55000000000000004</v>
      </c>
      <c r="L53" s="173">
        <f>IF($A$1="",0,L50)</f>
        <v>-0.19999999999999998</v>
      </c>
      <c r="M53" s="182">
        <f>IF(M3=0,"",M3)</f>
        <v>12</v>
      </c>
      <c r="N53" s="173">
        <f>IF($A$1="",0,N54-0.185)</f>
        <v>0.315</v>
      </c>
      <c r="O53" s="173">
        <f>IF($A$1="",0,O54)</f>
        <v>2.5000000000000001E-2</v>
      </c>
      <c r="Q53" s="173">
        <f>IF($A$1="",0,Q52)</f>
        <v>1.1000000000000001</v>
      </c>
      <c r="R53" s="173">
        <f>IF($A$1="",0,R47)</f>
        <v>-0.2</v>
      </c>
    </row>
    <row r="54" spans="2:18" x14ac:dyDescent="0.25">
      <c r="B54" s="173">
        <f>IF($A$1="",0,B53-0.15)</f>
        <v>3.5</v>
      </c>
      <c r="C54" s="173">
        <f>IF($A$1="",0,C53)</f>
        <v>4.55</v>
      </c>
      <c r="H54" s="173">
        <f>IF($A$1="",0,H53)</f>
        <v>0.73333333333333339</v>
      </c>
      <c r="I54" s="173">
        <f>IF($A$1="",0,0)</f>
        <v>0</v>
      </c>
      <c r="K54" s="173">
        <f>IF($A$1="",0,K53)</f>
        <v>0.55000000000000004</v>
      </c>
      <c r="L54" s="173">
        <f>IF($A$1="",0,0)</f>
        <v>0</v>
      </c>
      <c r="M54" s="177" t="str">
        <f>IF(N3=0,"",N3)</f>
        <v>Ø 5/8"</v>
      </c>
      <c r="N54" s="173">
        <f>IF($A$1="",0,(B3/2)-0.05)</f>
        <v>0.5</v>
      </c>
      <c r="O54" s="173">
        <f>IF($A$1="",0,0.025)</f>
        <v>2.5000000000000001E-2</v>
      </c>
    </row>
    <row r="55" spans="2:18" x14ac:dyDescent="0.25">
      <c r="E55" s="173">
        <f>IF($A$1="",0,E49)</f>
        <v>3.6</v>
      </c>
      <c r="F55" s="173">
        <f>IF($A$1="",0,F53)</f>
        <v>1.2</v>
      </c>
      <c r="M55" s="176">
        <f>IF(O3=0,"",O3)</f>
        <v>0.17</v>
      </c>
      <c r="N55" s="173">
        <f>IF($A$1="",0,N54+0.255)</f>
        <v>0.755</v>
      </c>
      <c r="O55" s="173">
        <f>IF($A$1="",0,O54)</f>
        <v>2.5000000000000001E-2</v>
      </c>
      <c r="Q55" s="173">
        <f>IF($A$1="",0,Q41-0.05)</f>
        <v>1.25</v>
      </c>
      <c r="R55" s="173">
        <f>IF($A$1="",0,0)</f>
        <v>0</v>
      </c>
    </row>
    <row r="56" spans="2:18" x14ac:dyDescent="0.25">
      <c r="B56" s="173">
        <f>IF($A$1="",0,B54)</f>
        <v>3.5</v>
      </c>
      <c r="C56" s="173">
        <f>IF($A$1="",0,C54)</f>
        <v>4.55</v>
      </c>
      <c r="E56" s="173">
        <f>IF($A$1="",0,E50)</f>
        <v>3.8000000000000003</v>
      </c>
      <c r="F56" s="173">
        <f>IF($A$1="",0,F55)</f>
        <v>1.2</v>
      </c>
      <c r="H56" s="173">
        <f>IF($A$1="",0,H39*5/6)</f>
        <v>0.91666666666666663</v>
      </c>
      <c r="I56" s="173">
        <f>IF($A$1="",0,I53)</f>
        <v>-0.19999999999999998</v>
      </c>
      <c r="K56" s="173">
        <f>IF($A$1="",0,K47*3/8)</f>
        <v>0.82500000000000007</v>
      </c>
      <c r="L56" s="173">
        <f>IF($A$1="",0,L53)</f>
        <v>-0.19999999999999998</v>
      </c>
      <c r="Q56" s="173">
        <f>IF($A$1="",0,Q55+0.1)</f>
        <v>1.35</v>
      </c>
      <c r="R56" s="173">
        <f>IF($A$1="",0,R55)</f>
        <v>0</v>
      </c>
    </row>
    <row r="57" spans="2:18" x14ac:dyDescent="0.25">
      <c r="B57" s="173">
        <f>IF($A$1="",0,B56)</f>
        <v>3.5</v>
      </c>
      <c r="C57" s="173">
        <f>IF($A$1="",0,C23+0.1)</f>
        <v>4.8499999999999996</v>
      </c>
      <c r="H57" s="173">
        <f>IF($A$1="",0,H56)</f>
        <v>0.91666666666666663</v>
      </c>
      <c r="I57" s="173">
        <f>IF($A$1="",0,0)</f>
        <v>0</v>
      </c>
      <c r="K57" s="173">
        <f>IF($A$1="",0,K56)</f>
        <v>0.82500000000000007</v>
      </c>
      <c r="L57" s="173">
        <f>IF($A$1="",0,0)</f>
        <v>0</v>
      </c>
      <c r="M57" s="182">
        <f>IF(Q3=0,"",Q3)</f>
        <v>6</v>
      </c>
      <c r="N57" s="173">
        <f>IF($A$1="",0,N58)</f>
        <v>1.0750000000000002</v>
      </c>
      <c r="O57" s="173">
        <f>IF($A$1="",0,O58-0.185)</f>
        <v>0.86499999999999999</v>
      </c>
    </row>
    <row r="58" spans="2:18" x14ac:dyDescent="0.25">
      <c r="D58" s="183">
        <f>IF(I3=0,"",I3)</f>
        <v>1.2</v>
      </c>
      <c r="E58" s="173">
        <f>IF($A$1="",0,E53)</f>
        <v>3.7300000000000004</v>
      </c>
      <c r="F58" s="173">
        <f>IF($A$1="",0,F53/2)</f>
        <v>0.6</v>
      </c>
      <c r="M58" s="177" t="str">
        <f>IF(R3=0,"",R3)</f>
        <v>Ø 5/8"</v>
      </c>
      <c r="N58" s="173">
        <f>IF($A$1="",0,N50+0.05)</f>
        <v>1.0750000000000002</v>
      </c>
      <c r="O58" s="173">
        <f>IF($A$1="",0,(C3/2)-0.05)</f>
        <v>1.05</v>
      </c>
      <c r="Q58" s="173">
        <f>IF($A$1="",0,Q56-0.05)</f>
        <v>1.3</v>
      </c>
      <c r="R58" s="173">
        <f>IF($A$1="",0,R55)</f>
        <v>0</v>
      </c>
    </row>
    <row r="59" spans="2:18" x14ac:dyDescent="0.25">
      <c r="G59" s="173" t="str">
        <f>IF($A$1="",0,"RN")</f>
        <v>RN</v>
      </c>
      <c r="H59" s="173">
        <f>IF($A$1="",0,H42/2)</f>
        <v>0.55000000000000004</v>
      </c>
      <c r="I59" s="173">
        <f>IF($A$1="",0,-0.35)</f>
        <v>-0.35</v>
      </c>
      <c r="K59" s="173">
        <f>IF($A$1="",0,K47*4/8)</f>
        <v>1.1000000000000001</v>
      </c>
      <c r="L59" s="173">
        <f>IF($A$1="",0,L56)</f>
        <v>-0.19999999999999998</v>
      </c>
      <c r="M59" s="176">
        <f>IF(S3=0,"",S3)</f>
        <v>0.18</v>
      </c>
      <c r="N59" s="173">
        <f>IF($A$1="",0,N58)</f>
        <v>1.0750000000000002</v>
      </c>
      <c r="O59" s="173">
        <f>IF($A$1="",0,O58+0.255)</f>
        <v>1.3050000000000002</v>
      </c>
      <c r="Q59" s="173">
        <f>IF($A$1="",0,Q58)</f>
        <v>1.3</v>
      </c>
      <c r="R59" s="173">
        <f>IF($A$1="",0,D3)</f>
        <v>0.6</v>
      </c>
    </row>
    <row r="60" spans="2:18" x14ac:dyDescent="0.25">
      <c r="E60" s="173">
        <f>IF($A$1="",0,E49+0.5)</f>
        <v>4.0999999999999996</v>
      </c>
      <c r="F60" s="173">
        <f>IF($A$1="",0,D3)</f>
        <v>0.6</v>
      </c>
      <c r="H60" s="173">
        <f>IF($A$1="",0,H59)</f>
        <v>0.55000000000000004</v>
      </c>
      <c r="I60" s="173">
        <f>IF($A$1="",0,0)</f>
        <v>0</v>
      </c>
      <c r="K60" s="173">
        <f>IF($A$1="",0,K59)</f>
        <v>1.1000000000000001</v>
      </c>
      <c r="L60" s="173">
        <f>IF($A$1="",0,0)</f>
        <v>0</v>
      </c>
    </row>
    <row r="61" spans="2:18" x14ac:dyDescent="0.25">
      <c r="E61" s="173">
        <f>IF($A$1="",0,E60+0.2)</f>
        <v>4.3</v>
      </c>
      <c r="F61" s="173">
        <f>IF($A$1="",0,F60)</f>
        <v>0.6</v>
      </c>
      <c r="N61" s="173">
        <f>IF($A$1="",0,B3+0.05)</f>
        <v>1.1500000000000001</v>
      </c>
      <c r="O61" s="173">
        <f>IF($A$1="",0,0)</f>
        <v>0</v>
      </c>
      <c r="Q61" s="173">
        <f>IF($A$1="",0,Q56)</f>
        <v>1.35</v>
      </c>
      <c r="R61" s="173">
        <f>IF($A$1="",0,R59)</f>
        <v>0.6</v>
      </c>
    </row>
    <row r="62" spans="2:18" x14ac:dyDescent="0.25">
      <c r="H62" s="173">
        <f>IF($A$1="",0,0)</f>
        <v>0</v>
      </c>
      <c r="I62" s="173">
        <f>IF($A$1="",0,-0.35)</f>
        <v>-0.35</v>
      </c>
      <c r="K62" s="173">
        <f>IF($A$1="",0,K47*5/8)</f>
        <v>1.375</v>
      </c>
      <c r="L62" s="173">
        <f>IF($A$1="",0,L59)</f>
        <v>-0.19999999999999998</v>
      </c>
      <c r="N62" s="173">
        <f>IF($A$1="",0,N61+0.1)</f>
        <v>1.2500000000000002</v>
      </c>
      <c r="O62" s="173">
        <f>IF($A$1="",0,O61)</f>
        <v>0</v>
      </c>
      <c r="Q62" s="173">
        <f>IF($A$1="",0,Q61-0.1)</f>
        <v>1.25</v>
      </c>
      <c r="R62" s="173">
        <f>IF($A$1="",0,R61)</f>
        <v>0.6</v>
      </c>
    </row>
    <row r="63" spans="2:18" x14ac:dyDescent="0.25">
      <c r="E63" s="173">
        <f>IF($A$1="",0,E61-0.07)</f>
        <v>4.2299999999999995</v>
      </c>
      <c r="F63" s="173">
        <f>IF($A$1="",0,F61)</f>
        <v>0.6</v>
      </c>
      <c r="H63" s="173">
        <f>IF($A$1="",0,0)</f>
        <v>0</v>
      </c>
      <c r="I63" s="173">
        <f>IF($A$1="",0,I62-0.25)</f>
        <v>-0.6</v>
      </c>
      <c r="K63" s="173">
        <f>IF($A$1="",0,K62)</f>
        <v>1.375</v>
      </c>
      <c r="L63" s="173">
        <f>IF($A$1="",0,0)</f>
        <v>0</v>
      </c>
    </row>
    <row r="64" spans="2:18" x14ac:dyDescent="0.25">
      <c r="E64" s="173">
        <f>IF($A$1="",0,E63)</f>
        <v>4.2299999999999995</v>
      </c>
      <c r="F64" s="173">
        <f>IF($A$1="",0,H3)</f>
        <v>4.5</v>
      </c>
      <c r="N64" s="173">
        <f>IF($A$1="",0,N61+0.05)</f>
        <v>1.2000000000000002</v>
      </c>
      <c r="O64" s="173">
        <f>IF($A$1="",0,0)</f>
        <v>0</v>
      </c>
      <c r="Q64" s="173">
        <f>IF($A$1="",0,Q62+0.2)</f>
        <v>1.45</v>
      </c>
      <c r="R64" s="173">
        <f>IF($A$1="",0,0)</f>
        <v>0</v>
      </c>
    </row>
    <row r="65" spans="4:18" x14ac:dyDescent="0.25">
      <c r="H65" s="173">
        <f>IF($A$1="",0,H63)</f>
        <v>0</v>
      </c>
      <c r="I65" s="173">
        <f>IF($A$1="",0,I63+0.1)</f>
        <v>-0.5</v>
      </c>
      <c r="K65" s="173">
        <f>IF($A$1="",0,K47*6/8)</f>
        <v>1.6500000000000001</v>
      </c>
      <c r="L65" s="173">
        <f>IF($A$1="",0,L62)</f>
        <v>-0.19999999999999998</v>
      </c>
      <c r="N65" s="173">
        <f>IF($A$1="",0,N64)</f>
        <v>1.2000000000000002</v>
      </c>
      <c r="O65" s="173">
        <f>IF($A$1="",0,C3)</f>
        <v>2.2000000000000002</v>
      </c>
      <c r="Q65" s="173">
        <f>IF($A$1="",0,Q64+0.1)</f>
        <v>1.55</v>
      </c>
      <c r="R65" s="173">
        <f>IF($A$1="",0,R64)</f>
        <v>0</v>
      </c>
    </row>
    <row r="66" spans="4:18" x14ac:dyDescent="0.25">
      <c r="E66" s="173">
        <f>IF($A$1="",0,E60-0.35)</f>
        <v>3.7499999999999996</v>
      </c>
      <c r="F66" s="173">
        <f>IF($A$1="",0,F64)</f>
        <v>4.5</v>
      </c>
      <c r="H66" s="173">
        <f>IF($A$1="",0,H41)</f>
        <v>1.1000000000000001</v>
      </c>
      <c r="I66" s="173">
        <f>IF($A$1="",0,I65)</f>
        <v>-0.5</v>
      </c>
      <c r="K66" s="173">
        <f>IF($A$1="",0,K65)</f>
        <v>1.6500000000000001</v>
      </c>
      <c r="L66" s="173">
        <f>IF($A$1="",0,0)</f>
        <v>0</v>
      </c>
    </row>
    <row r="67" spans="4:18" x14ac:dyDescent="0.25">
      <c r="E67" s="173">
        <f>IF($A$1="",0,E61)</f>
        <v>4.3</v>
      </c>
      <c r="F67" s="173">
        <f>IF($A$1="",0,F66)</f>
        <v>4.5</v>
      </c>
      <c r="N67" s="173">
        <f>IF($A$1="",0,N61)</f>
        <v>1.1500000000000001</v>
      </c>
      <c r="O67" s="173">
        <f>IF($A$1="",0,O65)</f>
        <v>2.2000000000000002</v>
      </c>
      <c r="Q67" s="173">
        <f>IF($A$1="",0,Q65-0.05)</f>
        <v>1.5</v>
      </c>
      <c r="R67" s="173">
        <f>IF($A$1="",0,R64)</f>
        <v>0</v>
      </c>
    </row>
    <row r="68" spans="4:18" x14ac:dyDescent="0.25">
      <c r="H68" s="173">
        <f>IF($A$1="",0,H66)</f>
        <v>1.1000000000000001</v>
      </c>
      <c r="I68" s="173">
        <f>IF($A$1="",0,I62)</f>
        <v>-0.35</v>
      </c>
      <c r="K68" s="173">
        <f>IF($A$1="",0,K47*7/8)</f>
        <v>1.9250000000000003</v>
      </c>
      <c r="L68" s="173">
        <f>IF($A$1="",0,L65)</f>
        <v>-0.19999999999999998</v>
      </c>
      <c r="N68" s="173">
        <f>IF($A$1="",0,N62)</f>
        <v>1.2500000000000002</v>
      </c>
      <c r="O68" s="173">
        <f>IF($A$1="",0,O67)</f>
        <v>2.2000000000000002</v>
      </c>
      <c r="Q68" s="173">
        <f>IF($A$1="",0,Q67)</f>
        <v>1.5</v>
      </c>
      <c r="R68" s="173">
        <f>IF($A$1="",0,I3)</f>
        <v>1.2</v>
      </c>
    </row>
    <row r="69" spans="4:18" x14ac:dyDescent="0.25">
      <c r="D69" s="184">
        <f>IF(H3=0,"",H3-D3)</f>
        <v>3.9</v>
      </c>
      <c r="E69" s="173">
        <f>IF($A$1="",0,E64)</f>
        <v>4.2299999999999995</v>
      </c>
      <c r="F69" s="173">
        <f>IF($A$1="",0,D3+(H3-D3)/2)</f>
        <v>2.5499999999999998</v>
      </c>
      <c r="H69" s="173">
        <f>IF($A$1="",0,H68)</f>
        <v>1.1000000000000001</v>
      </c>
      <c r="I69" s="173">
        <f>IF($A$1="",0,I63)</f>
        <v>-0.6</v>
      </c>
      <c r="K69" s="173">
        <f>IF($A$1="",0,K68)</f>
        <v>1.9250000000000003</v>
      </c>
      <c r="L69" s="173">
        <f>IF($A$1="",0,0)</f>
        <v>0</v>
      </c>
    </row>
    <row r="70" spans="4:18" x14ac:dyDescent="0.25">
      <c r="N70" s="173">
        <f>IF($A$1="",0,0)</f>
        <v>0</v>
      </c>
      <c r="O70" s="173">
        <f>IF($A$1="",0,C3+0.1)</f>
        <v>2.3000000000000003</v>
      </c>
      <c r="Q70" s="173">
        <f>IF($A$1="",0,Q65)</f>
        <v>1.55</v>
      </c>
      <c r="R70" s="173">
        <f>IF($A$1="",0,R68)</f>
        <v>1.2</v>
      </c>
    </row>
    <row r="71" spans="4:18" x14ac:dyDescent="0.25">
      <c r="H71" s="173">
        <f>IF($A$1="",0,H80)</f>
        <v>1.1000000000000001</v>
      </c>
      <c r="I71" s="173">
        <f>IF($A$1="",0,I76+0.1)</f>
        <v>0.85</v>
      </c>
      <c r="J71" s="173" t="str">
        <f>IF($A$1="",0,"RN")</f>
        <v>RN</v>
      </c>
      <c r="K71" s="173">
        <f>IF($A$1="",0,K48/2)</f>
        <v>1.1000000000000001</v>
      </c>
      <c r="L71" s="173">
        <f>IF($A$1="",0,-0.35)</f>
        <v>-0.35</v>
      </c>
      <c r="N71" s="173">
        <f>IF($A$1="",0,N70)</f>
        <v>0</v>
      </c>
      <c r="O71" s="173">
        <f>IF($A$1="",0,O70+0.1)</f>
        <v>2.4000000000000004</v>
      </c>
      <c r="Q71" s="173">
        <f>IF($A$1="",0,Q70-0.1)</f>
        <v>1.45</v>
      </c>
      <c r="R71" s="173">
        <f>IF($A$1="",0,R70)</f>
        <v>1.2</v>
      </c>
    </row>
    <row r="72" spans="4:18" x14ac:dyDescent="0.25">
      <c r="H72" s="173">
        <f>IF($A$1="",0,H71)</f>
        <v>1.1000000000000001</v>
      </c>
      <c r="I72" s="173">
        <f>IF($A$1="",0,I76-0.1)</f>
        <v>0.65</v>
      </c>
      <c r="K72" s="173">
        <f>IF($A$1="",0,K71)</f>
        <v>1.1000000000000001</v>
      </c>
      <c r="L72" s="173">
        <f>IF($A$1="",0,0)</f>
        <v>0</v>
      </c>
    </row>
    <row r="73" spans="4:18" x14ac:dyDescent="0.25">
      <c r="N73" s="173">
        <f>IF($A$1="",0,N70)</f>
        <v>0</v>
      </c>
      <c r="O73" s="173">
        <f>IF($A$1="",0,O70+0.05)</f>
        <v>2.35</v>
      </c>
      <c r="P73" s="177">
        <f>IF(B3=0,"",B3)</f>
        <v>1.1000000000000001</v>
      </c>
      <c r="Q73" s="173">
        <f>IF($A$1="",0,B3/2)</f>
        <v>0.55000000000000004</v>
      </c>
      <c r="R73" s="173">
        <f>IF($A$1="",0,R49)</f>
        <v>-0.15000000000000002</v>
      </c>
    </row>
    <row r="74" spans="4:18" x14ac:dyDescent="0.25">
      <c r="G74" s="177">
        <f>IF(D36=0,"",D36)</f>
        <v>1.1000000000000001</v>
      </c>
      <c r="H74" s="173">
        <f>IF($A$1="",0,H69/2)</f>
        <v>0.55000000000000004</v>
      </c>
      <c r="I74" s="173">
        <f>IF($A$1="",0,I65+0.05)</f>
        <v>-0.45</v>
      </c>
      <c r="K74" s="173">
        <f>IF($A$1="",0,0)</f>
        <v>0</v>
      </c>
      <c r="L74" s="173">
        <f>IF($A$1="",0,-0.35)</f>
        <v>-0.35</v>
      </c>
      <c r="N74" s="173">
        <f>IF($A$1="",0,B3)</f>
        <v>1.1000000000000001</v>
      </c>
      <c r="O74" s="173">
        <f>IF($A$1="",0,O73)</f>
        <v>2.35</v>
      </c>
      <c r="P74" s="177">
        <f>IF(D3=0,"",D3)</f>
        <v>0.6</v>
      </c>
      <c r="Q74" s="173">
        <f>IF($A$1="",0,Q58)</f>
        <v>1.3</v>
      </c>
      <c r="R74" s="173">
        <f>IF($A$1="",0,D3/2)</f>
        <v>0.3</v>
      </c>
    </row>
    <row r="75" spans="4:18" x14ac:dyDescent="0.25">
      <c r="K75" s="173">
        <f>IF($A$1="",0,0)</f>
        <v>0</v>
      </c>
      <c r="L75" s="173">
        <f>IF($A$1="",0,L74-0.25)</f>
        <v>-0.6</v>
      </c>
      <c r="P75" s="177">
        <f>IF(I3=0,"",I3)</f>
        <v>1.2</v>
      </c>
      <c r="Q75" s="173">
        <f>IF($A$1="",0,Q67)</f>
        <v>1.5</v>
      </c>
      <c r="R75" s="173">
        <f>IF($A$1="",0,I3/2)</f>
        <v>0.6</v>
      </c>
    </row>
    <row r="76" spans="4:18" x14ac:dyDescent="0.25">
      <c r="H76" s="173">
        <f>IF($A$1="",0,0)</f>
        <v>0</v>
      </c>
      <c r="I76" s="173">
        <f>IF($A$1="",0,D3+0.15)</f>
        <v>0.75</v>
      </c>
      <c r="N76" s="173">
        <f>IF($A$1="",0,N74)</f>
        <v>1.1000000000000001</v>
      </c>
      <c r="O76" s="173">
        <f>IF($A$1="",0,O70)</f>
        <v>2.3000000000000003</v>
      </c>
    </row>
    <row r="77" spans="4:18" x14ac:dyDescent="0.25">
      <c r="H77" s="173">
        <f>IF($A$1="",0,G3)</f>
        <v>0.65</v>
      </c>
      <c r="I77" s="173">
        <f>IF($A$1="",0,I76)</f>
        <v>0.75</v>
      </c>
      <c r="K77" s="173">
        <f>IF($A$1="",0,K75)</f>
        <v>0</v>
      </c>
      <c r="L77" s="173">
        <f>IF($A$1="",0,L75+0.1)</f>
        <v>-0.5</v>
      </c>
      <c r="N77" s="173">
        <f>IF($A$1="",0,N76)</f>
        <v>1.1000000000000001</v>
      </c>
      <c r="O77" s="173">
        <f>IF($A$1="",0,O71)</f>
        <v>2.4000000000000004</v>
      </c>
      <c r="Q77" s="173">
        <f>IF($A$1="",0,0.075)</f>
        <v>7.4999999999999997E-2</v>
      </c>
      <c r="R77" s="173">
        <f>IF($A$1="",0,0.175)</f>
        <v>0.17499999999999999</v>
      </c>
    </row>
    <row r="78" spans="4:18" x14ac:dyDescent="0.25">
      <c r="K78" s="173">
        <f>IF($A$1="",0,K47)</f>
        <v>2.2000000000000002</v>
      </c>
      <c r="L78" s="173">
        <f>IF($A$1="",0,L77)</f>
        <v>-0.5</v>
      </c>
      <c r="Q78" s="173">
        <f>IF($A$1="",0,Q77)</f>
        <v>7.4999999999999997E-2</v>
      </c>
      <c r="R78" s="173">
        <f>IF($A$1="",0,R77-0.075)</f>
        <v>9.9999999999999992E-2</v>
      </c>
    </row>
    <row r="79" spans="4:18" x14ac:dyDescent="0.25">
      <c r="H79" s="173">
        <f>IF($A$1="",0,H77)</f>
        <v>0.65</v>
      </c>
      <c r="I79" s="173">
        <f>IF($A$1="",0,I77)</f>
        <v>0.75</v>
      </c>
      <c r="M79" s="177">
        <f>IF(B3=0,"",B3)</f>
        <v>1.1000000000000001</v>
      </c>
      <c r="N79" s="173">
        <f>IF($A$1="",0,B3/2)</f>
        <v>0.55000000000000004</v>
      </c>
      <c r="O79" s="173">
        <f>IF($A$1="",0,O73)</f>
        <v>2.35</v>
      </c>
    </row>
    <row r="80" spans="4:18" x14ac:dyDescent="0.25">
      <c r="H80" s="173">
        <f>IF($A$1="",0,B3)</f>
        <v>1.1000000000000001</v>
      </c>
      <c r="I80" s="173">
        <f>IF($A$1="",0,I79)</f>
        <v>0.75</v>
      </c>
      <c r="K80" s="173">
        <f>IF($A$1="",0,K78)</f>
        <v>2.2000000000000002</v>
      </c>
      <c r="L80" s="173">
        <f>IF($A$1="",0,L74)</f>
        <v>-0.35</v>
      </c>
      <c r="M80" s="177">
        <f>IF(C3=0,"",C3)</f>
        <v>2.2000000000000002</v>
      </c>
      <c r="N80" s="173">
        <f>IF($A$1="",0,N68+0.025)</f>
        <v>1.2750000000000001</v>
      </c>
      <c r="O80" s="173">
        <f>IF($A$1="",0,C3/2)</f>
        <v>1.1000000000000001</v>
      </c>
      <c r="Q80" s="173">
        <f>IF($A$1="",0,Q78)</f>
        <v>7.4999999999999997E-2</v>
      </c>
      <c r="R80" s="173">
        <f>IF($A$1="",0,R78)</f>
        <v>9.9999999999999992E-2</v>
      </c>
    </row>
    <row r="81" spans="5:18" x14ac:dyDescent="0.25">
      <c r="K81" s="173">
        <f>IF($A$1="",0,K80)</f>
        <v>2.2000000000000002</v>
      </c>
      <c r="L81" s="173">
        <f>IF($A$1="",0,L75)</f>
        <v>-0.6</v>
      </c>
      <c r="M81" s="177" t="str">
        <f>IF(T3=0,"",T3)</f>
        <v>PLANTA</v>
      </c>
      <c r="N81" s="173">
        <f>IF($A$1="",0,N79)</f>
        <v>0.55000000000000004</v>
      </c>
      <c r="O81" s="173">
        <f>IF($A$1="",0,0)</f>
        <v>0</v>
      </c>
      <c r="Q81" s="173">
        <f>IF($A$1="",0,B3-Q80)</f>
        <v>1.0250000000000001</v>
      </c>
      <c r="R81" s="173">
        <f>IF($A$1="",0,R80)</f>
        <v>9.9999999999999992E-2</v>
      </c>
    </row>
    <row r="82" spans="5:18" x14ac:dyDescent="0.25">
      <c r="G82" s="185">
        <f>IF(G3=0,"",G3)</f>
        <v>0.65</v>
      </c>
      <c r="H82" s="173">
        <f>IF($A$1="",0,H79/2)</f>
        <v>0.32500000000000001</v>
      </c>
      <c r="I82" s="173">
        <f>IF($A$1="",0,I80-0.05)</f>
        <v>0.7</v>
      </c>
      <c r="P82" s="185"/>
    </row>
    <row r="83" spans="5:18" x14ac:dyDescent="0.25">
      <c r="G83" s="186">
        <f>IF(G82=0,"",G74-G82)</f>
        <v>0.45000000000000007</v>
      </c>
      <c r="H83" s="173">
        <f>IF($A$1="",0,H79+((H80-H79)/2))</f>
        <v>0.875</v>
      </c>
      <c r="I83" s="173">
        <f>IF($A$1="",0,I82)</f>
        <v>0.7</v>
      </c>
      <c r="K83" s="173">
        <f>IF($A$1="",0,K81)</f>
        <v>2.2000000000000002</v>
      </c>
      <c r="L83" s="173">
        <f>IF($A$1="",0,D3+0.1)</f>
        <v>0.7</v>
      </c>
      <c r="P83" s="186"/>
      <c r="Q83" s="173">
        <f>IF($A$1="",0,Q81)</f>
        <v>1.0250000000000001</v>
      </c>
      <c r="R83" s="173">
        <f>IF($A$1="",0,R81)</f>
        <v>9.9999999999999992E-2</v>
      </c>
    </row>
    <row r="84" spans="5:18" x14ac:dyDescent="0.25">
      <c r="K84" s="173">
        <f>IF($A$1="",0,K83)</f>
        <v>2.2000000000000002</v>
      </c>
      <c r="L84" s="173">
        <f>IF($A$1="",0,L83+0.1)</f>
        <v>0.79999999999999993</v>
      </c>
      <c r="Q84" s="173">
        <f>IF($A$1="",0,Q83)</f>
        <v>1.0250000000000001</v>
      </c>
      <c r="R84" s="173">
        <f>IF($A$1="",0,R77)</f>
        <v>0.17499999999999999</v>
      </c>
    </row>
    <row r="85" spans="5:18" x14ac:dyDescent="0.25">
      <c r="H85" s="173">
        <f>IF($A$1="",0,H82)</f>
        <v>0.32500000000000001</v>
      </c>
      <c r="I85" s="173">
        <f>IF($A$1="",0,I15-0.25)</f>
        <v>1.0499999999999998</v>
      </c>
      <c r="P85" s="173">
        <f>IF($A$1="",0,Q3-1)</f>
        <v>5</v>
      </c>
    </row>
    <row r="86" spans="5:18" x14ac:dyDescent="0.25">
      <c r="G86" s="187">
        <f>IF(L3=0,"",L3)</f>
        <v>117.42</v>
      </c>
      <c r="H86" s="173">
        <f>IF($A$1="",0,H85)</f>
        <v>0.32500000000000001</v>
      </c>
      <c r="I86" s="173">
        <f>IF($A$1="",0,I15+0.25)</f>
        <v>1.5499999999999998</v>
      </c>
      <c r="K86" s="173">
        <f>IF($A$1="",0,0)</f>
        <v>0</v>
      </c>
      <c r="L86" s="173">
        <f>IF($A$1="",0,L83)</f>
        <v>0.7</v>
      </c>
      <c r="O86" s="173">
        <v>1</v>
      </c>
      <c r="P86" s="173">
        <f>IF(O86&lt;=$P$85,O86,"")</f>
        <v>1</v>
      </c>
      <c r="Q86" s="173">
        <f>IF(P86="",0.1,(($B$3-0.165)*P86/$P$85)+0.075)</f>
        <v>0.26200000000000001</v>
      </c>
      <c r="R86" s="173">
        <f>IF(P86="",0.115,R83+0.015)</f>
        <v>0.11499999999999999</v>
      </c>
    </row>
    <row r="87" spans="5:18" x14ac:dyDescent="0.25">
      <c r="K87" s="173">
        <f>IF($A$1="",0,K86)</f>
        <v>0</v>
      </c>
      <c r="L87" s="173">
        <f>IF($A$1="",0,L86+0.1)</f>
        <v>0.79999999999999993</v>
      </c>
    </row>
    <row r="88" spans="5:18" x14ac:dyDescent="0.25">
      <c r="H88" s="173">
        <f>IF($A$1="",0,0.075)</f>
        <v>7.4999999999999997E-2</v>
      </c>
      <c r="I88" s="173">
        <f>IF($A$1="",0,0.075)</f>
        <v>7.4999999999999997E-2</v>
      </c>
      <c r="O88" s="173">
        <v>2</v>
      </c>
      <c r="P88" s="173">
        <f>IF(O88&lt;=$P$85,O88,"")</f>
        <v>2</v>
      </c>
      <c r="Q88" s="173">
        <f>IF(P88="",0.1,(($B$3-0.165)*P88/$P$85)+0.075)</f>
        <v>0.44900000000000001</v>
      </c>
      <c r="R88" s="173">
        <f>IF(P88="",0.115,R86)</f>
        <v>0.11499999999999999</v>
      </c>
    </row>
    <row r="89" spans="5:18" x14ac:dyDescent="0.25">
      <c r="H89" s="173">
        <f>IF($A$1="",0,H80-0.075)</f>
        <v>1.0250000000000001</v>
      </c>
      <c r="I89" s="173">
        <f>IF($A$1="",0,I88)</f>
        <v>7.4999999999999997E-2</v>
      </c>
      <c r="J89" s="188">
        <f>IF(C3=0,"",C3)</f>
        <v>2.2000000000000002</v>
      </c>
      <c r="K89" s="173">
        <f>IF($A$1="",0,K81/2)</f>
        <v>1.1000000000000001</v>
      </c>
      <c r="L89" s="173">
        <f>IF($A$1="",0,L77+0.05)</f>
        <v>-0.45</v>
      </c>
    </row>
    <row r="90" spans="5:18" x14ac:dyDescent="0.25">
      <c r="O90" s="173">
        <v>3</v>
      </c>
      <c r="P90" s="173">
        <f>IF(O90&lt;=$P$85,O90,"")</f>
        <v>3</v>
      </c>
      <c r="Q90" s="173">
        <f>IF(P90="",0.1,(($B$3-0.165)*P90/$P$85)+0.075)</f>
        <v>0.63600000000000001</v>
      </c>
      <c r="R90" s="173">
        <f>IF(P90="",0.115,R88)</f>
        <v>0.11499999999999999</v>
      </c>
    </row>
    <row r="91" spans="5:18" x14ac:dyDescent="0.25">
      <c r="G91" s="182">
        <f>IF(M3=0,"",M3)</f>
        <v>12</v>
      </c>
      <c r="H91" s="173">
        <f>IF($A$1="",0,(H80/2)-0.185)</f>
        <v>0.36500000000000005</v>
      </c>
      <c r="I91" s="173">
        <f>IF($A$1="",0,0)</f>
        <v>0</v>
      </c>
      <c r="K91" s="173">
        <f>IF($A$1="",0,0)</f>
        <v>0</v>
      </c>
      <c r="L91" s="173">
        <f>IF($A$1="",0,L94)</f>
        <v>0.75</v>
      </c>
    </row>
    <row r="92" spans="5:18" x14ac:dyDescent="0.25">
      <c r="G92" s="177" t="str">
        <f>IF(N3=0,"",N3)</f>
        <v>Ø 5/8"</v>
      </c>
      <c r="H92" s="173">
        <f>IF($A$1="",0,(H80/2))</f>
        <v>0.55000000000000004</v>
      </c>
      <c r="I92" s="173">
        <f>IF($A$1="",0,0)</f>
        <v>0</v>
      </c>
      <c r="K92" s="173">
        <f>IF($A$1="",0,J101)</f>
        <v>0.90000000000000013</v>
      </c>
      <c r="L92" s="173">
        <f>IF($A$1="",0,L91)</f>
        <v>0.75</v>
      </c>
      <c r="O92" s="173">
        <v>4</v>
      </c>
      <c r="P92" s="173">
        <f>IF(O92&lt;=$P$85,O92,"")</f>
        <v>4</v>
      </c>
      <c r="Q92" s="173">
        <f>IF(P92="",0.1,(($B$3-0.165)*P92/$P$85)+0.075)</f>
        <v>0.82299999999999995</v>
      </c>
      <c r="R92" s="173">
        <f>IF(P92="",0.115,R90)</f>
        <v>0.11499999999999999</v>
      </c>
    </row>
    <row r="93" spans="5:18" x14ac:dyDescent="0.25">
      <c r="G93" s="176">
        <f>IF(O3=0,"",O3)</f>
        <v>0.17</v>
      </c>
      <c r="H93" s="173">
        <f>IF($A$1="",0,(H80/2)+0.255)</f>
        <v>0.80500000000000005</v>
      </c>
      <c r="I93" s="173">
        <f>IF($A$1="",0,0)</f>
        <v>0</v>
      </c>
    </row>
    <row r="94" spans="5:18" x14ac:dyDescent="0.25">
      <c r="K94" s="173">
        <f>IF($A$1="",0,J101)</f>
        <v>0.90000000000000013</v>
      </c>
      <c r="L94" s="173">
        <f>IF($A$1="",0,D3+0.15)</f>
        <v>0.75</v>
      </c>
      <c r="O94" s="173">
        <v>5</v>
      </c>
      <c r="P94" s="173">
        <f>IF(O94&lt;=$P$85,O94,"")</f>
        <v>5</v>
      </c>
      <c r="Q94" s="173">
        <f>IF(P94="",0.1,(($B$3-0.165)*P94/$P$85)+0.075)</f>
        <v>1.0100000000000002</v>
      </c>
      <c r="R94" s="173">
        <f>IF(P94="",0.115,R92)</f>
        <v>0.11499999999999999</v>
      </c>
    </row>
    <row r="95" spans="5:18" x14ac:dyDescent="0.25">
      <c r="E95" s="173">
        <f>1.1-0.075-0.075</f>
        <v>0.95000000000000018</v>
      </c>
      <c r="K95" s="173">
        <f>IF($A$1="",0,J101+J100)</f>
        <v>1.3000000000000003</v>
      </c>
      <c r="L95" s="173">
        <f>IF($A$1="",0,L94)</f>
        <v>0.75</v>
      </c>
    </row>
    <row r="96" spans="5:18" x14ac:dyDescent="0.25">
      <c r="O96" s="173">
        <v>6</v>
      </c>
      <c r="P96" s="173" t="str">
        <f>IF(O96&lt;=$P$85,O96,"")</f>
        <v/>
      </c>
      <c r="Q96" s="173">
        <f>IF(P96="",0.1,(($B$3-0.165)*P96/$P$85)+0.075)</f>
        <v>0.1</v>
      </c>
      <c r="R96" s="173">
        <f>IF(P96="",0.115,R94)</f>
        <v>0.115</v>
      </c>
    </row>
    <row r="97" spans="10:18" x14ac:dyDescent="0.25">
      <c r="K97" s="173">
        <f>IF($A$1="",0,K95)</f>
        <v>1.3000000000000003</v>
      </c>
      <c r="L97" s="173">
        <f>IF($A$1="",0,L95)</f>
        <v>0.75</v>
      </c>
    </row>
    <row r="98" spans="10:18" x14ac:dyDescent="0.25">
      <c r="K98" s="173">
        <f>IF($A$1="",0,C3)</f>
        <v>2.2000000000000002</v>
      </c>
      <c r="L98" s="173">
        <f>IF($A$1="",0,L97)</f>
        <v>0.75</v>
      </c>
      <c r="O98" s="173">
        <v>7</v>
      </c>
      <c r="P98" s="173" t="str">
        <f>IF(O98&lt;=$P$85,O98,"")</f>
        <v/>
      </c>
      <c r="Q98" s="173">
        <f>IF(P98="",0.1,(($B$3-0.165)*P98/$P$85)+0.075)</f>
        <v>0.1</v>
      </c>
      <c r="R98" s="173">
        <f>IF(P98="",0.115,R96)</f>
        <v>0.115</v>
      </c>
    </row>
    <row r="100" spans="10:18" x14ac:dyDescent="0.25">
      <c r="J100" s="189">
        <f>IF(F3=0,"",F3)</f>
        <v>0.4</v>
      </c>
      <c r="K100" s="173">
        <f>IF($A$1="",0,K94+J100/2)</f>
        <v>1.1000000000000001</v>
      </c>
      <c r="L100" s="173">
        <f>IF($A$1="",0,L98-0.1)</f>
        <v>0.65</v>
      </c>
      <c r="O100" s="173">
        <v>8</v>
      </c>
      <c r="P100" s="173" t="str">
        <f>IF(O100&lt;=$P$85,O100,"")</f>
        <v/>
      </c>
      <c r="Q100" s="173">
        <f>IF(P100="",0.1,(($B$3-0.165)*P100/$P$85)+0.075)</f>
        <v>0.1</v>
      </c>
      <c r="R100" s="173">
        <f>IF(P100="",0.115,R98)</f>
        <v>0.115</v>
      </c>
    </row>
    <row r="101" spans="10:18" x14ac:dyDescent="0.25">
      <c r="J101" s="190">
        <f>IF(J100=0,"",(J89-J100)/2)</f>
        <v>0.90000000000000013</v>
      </c>
      <c r="K101" s="173">
        <f>IF($A$1="",0,K97+J101/2)</f>
        <v>1.7500000000000004</v>
      </c>
      <c r="L101" s="173">
        <f>IF($A$1="",0,L100)</f>
        <v>0.65</v>
      </c>
    </row>
    <row r="102" spans="10:18" x14ac:dyDescent="0.25">
      <c r="J102" s="190">
        <f>IF(J100=0,"",(J89-J100)/2)</f>
        <v>0.90000000000000013</v>
      </c>
      <c r="K102" s="173">
        <f>IF($A$1="",0,J101/2)</f>
        <v>0.45000000000000007</v>
      </c>
      <c r="L102" s="173">
        <f>IF($A$1="",0,L101)</f>
        <v>0.65</v>
      </c>
      <c r="O102" s="173">
        <v>9</v>
      </c>
      <c r="P102" s="173" t="str">
        <f>IF(O102&lt;=$P$85,O102,"")</f>
        <v/>
      </c>
      <c r="Q102" s="173">
        <f>IF(P102="",0.1,(($B$3-0.165)*P102/$P$85)+0.075)</f>
        <v>0.1</v>
      </c>
      <c r="R102" s="173">
        <f>IF(P102="",0.115,R100)</f>
        <v>0.115</v>
      </c>
    </row>
    <row r="104" spans="10:18" x14ac:dyDescent="0.25">
      <c r="K104" s="173">
        <f>IF($A$1="",0,K100)</f>
        <v>1.1000000000000001</v>
      </c>
      <c r="L104" s="173">
        <f>IF($A$1="",0,L20-0.25)</f>
        <v>1.0499999999999998</v>
      </c>
      <c r="O104" s="173">
        <v>10</v>
      </c>
      <c r="P104" s="173" t="str">
        <f>IF(O104&lt;=$P$85,O104,"")</f>
        <v/>
      </c>
      <c r="Q104" s="173">
        <f>IF(P104="",0.1,(($B$3-0.165)*P104/$P$85)+0.075)</f>
        <v>0.1</v>
      </c>
      <c r="R104" s="173">
        <f>IF(P104="",0.115,R102)</f>
        <v>0.115</v>
      </c>
    </row>
    <row r="105" spans="10:18" x14ac:dyDescent="0.25">
      <c r="J105" s="187">
        <f>IF(L3=0,"",L3)</f>
        <v>117.42</v>
      </c>
      <c r="K105" s="173">
        <f>IF($A$1="",0,K104)</f>
        <v>1.1000000000000001</v>
      </c>
      <c r="L105" s="173">
        <f>IF($A$1="",0,L20+0.25)</f>
        <v>1.5499999999999998</v>
      </c>
    </row>
    <row r="106" spans="10:18" x14ac:dyDescent="0.25">
      <c r="P106" s="182">
        <f>IF(M3=0,"",M3)</f>
        <v>12</v>
      </c>
      <c r="Q106" s="173">
        <f>IF($A$1="",0,Q107-0.185)</f>
        <v>0.16500000000000004</v>
      </c>
      <c r="R106" s="173">
        <f>IF($A$1="",0,R107)</f>
        <v>0.35</v>
      </c>
    </row>
    <row r="107" spans="10:18" x14ac:dyDescent="0.25">
      <c r="K107" s="173">
        <f>IF($A$1="",0,0.075)</f>
        <v>7.4999999999999997E-2</v>
      </c>
      <c r="L107" s="173">
        <f>IF($A$1="",0,0.075)</f>
        <v>7.4999999999999997E-2</v>
      </c>
      <c r="P107" s="177" t="str">
        <f>IF(N3=0,"",N3)</f>
        <v>Ø 5/8"</v>
      </c>
      <c r="Q107" s="173">
        <f>IF($A$1="",0,(B3/2)-0.2)</f>
        <v>0.35000000000000003</v>
      </c>
      <c r="R107" s="173">
        <f>IF($A$1="",0,0.35)</f>
        <v>0.35</v>
      </c>
    </row>
    <row r="108" spans="10:18" x14ac:dyDescent="0.25">
      <c r="K108" s="173">
        <f>IF($A$1="",0,K98-0.075)</f>
        <v>2.125</v>
      </c>
      <c r="L108" s="173">
        <f>IF($A$1="",0,L107)</f>
        <v>7.4999999999999997E-2</v>
      </c>
      <c r="P108" s="176">
        <f>IF(O3=0,"",O3)</f>
        <v>0.17</v>
      </c>
      <c r="Q108" s="173">
        <f>IF($A$1="",0,Q107+0.255)</f>
        <v>0.60499999999999998</v>
      </c>
      <c r="R108" s="173">
        <f>IF($A$1="",0,R107)</f>
        <v>0.35</v>
      </c>
    </row>
    <row r="110" spans="10:18" x14ac:dyDescent="0.25">
      <c r="J110" s="182">
        <f>IF(Q3=0,"",Q3)</f>
        <v>6</v>
      </c>
      <c r="K110" s="173">
        <f>IF($A$1="",0,(K98/2)-0.185)</f>
        <v>0.91500000000000004</v>
      </c>
      <c r="L110" s="173">
        <f>IF($A$1="",0,0)</f>
        <v>0</v>
      </c>
      <c r="P110" s="182">
        <f>IF(Q3=0,"",Q3)</f>
        <v>6</v>
      </c>
      <c r="Q110" s="173">
        <f>IF($A$1="",0,Q111-0.185)</f>
        <v>0.41500000000000009</v>
      </c>
      <c r="R110" s="173">
        <f>IF($A$1="",0,R111)</f>
        <v>0.19999999999999998</v>
      </c>
    </row>
    <row r="111" spans="10:18" x14ac:dyDescent="0.25">
      <c r="J111" s="177" t="str">
        <f>IF(R3=0,"",R3)</f>
        <v>Ø 5/8"</v>
      </c>
      <c r="K111" s="173">
        <f>IF($A$1="",0,(K98/2))</f>
        <v>1.1000000000000001</v>
      </c>
      <c r="L111" s="173">
        <f>IF($A$1="",0,0)</f>
        <v>0</v>
      </c>
      <c r="P111" s="177" t="str">
        <f>IF(R3=0,"",R3)</f>
        <v>Ø 5/8"</v>
      </c>
      <c r="Q111" s="173">
        <f>IF($A$1="",0,(B3*2/4)+0.05)</f>
        <v>0.60000000000000009</v>
      </c>
      <c r="R111" s="173">
        <f>IF($A$1="",0,R107-0.15)</f>
        <v>0.19999999999999998</v>
      </c>
    </row>
    <row r="112" spans="10:18" x14ac:dyDescent="0.25">
      <c r="J112" s="176">
        <f>IF(S3=0,"",S3)</f>
        <v>0.18</v>
      </c>
      <c r="K112" s="173">
        <f>IF($A$1="",0,(K98/2)+0.255)</f>
        <v>1.355</v>
      </c>
      <c r="L112" s="173">
        <f>IF($A$1="",0,0)</f>
        <v>0</v>
      </c>
      <c r="P112" s="176">
        <f>IF(S3=0,"",S3)</f>
        <v>0.18</v>
      </c>
      <c r="Q112" s="173">
        <f>IF($A$1="",0,Q111+0.255)</f>
        <v>0.85500000000000009</v>
      </c>
      <c r="R112" s="173">
        <f>IF($A$1="",0,R111)</f>
        <v>0.19999999999999998</v>
      </c>
    </row>
    <row r="114" spans="2:28" x14ac:dyDescent="0.25">
      <c r="Q114" s="173">
        <f>IF($A$1="",0,Q104+0.05)</f>
        <v>0.15000000000000002</v>
      </c>
      <c r="R114" s="173">
        <f>IF($A$1="",0,R78)</f>
        <v>9.9999999999999992E-2</v>
      </c>
    </row>
    <row r="115" spans="2:28" x14ac:dyDescent="0.25">
      <c r="Q115" s="173">
        <f>IF($A$1="",0,Q107-0.05)</f>
        <v>0.30000000000000004</v>
      </c>
      <c r="R115" s="173">
        <f>IF($A$1="",0,R107+0.075)</f>
        <v>0.42499999999999999</v>
      </c>
    </row>
    <row r="117" spans="2:28" x14ac:dyDescent="0.25">
      <c r="Q117" s="173">
        <f>IF($A$1="",0,Q90)</f>
        <v>0.63600000000000001</v>
      </c>
      <c r="R117" s="173">
        <f>IF($A$1="",0,R90)</f>
        <v>0.11499999999999999</v>
      </c>
    </row>
    <row r="118" spans="2:28" x14ac:dyDescent="0.25">
      <c r="Q118" s="173">
        <f>IF($A$1="",0,Q111)</f>
        <v>0.60000000000000009</v>
      </c>
      <c r="R118" s="173">
        <f>IF($A$1="",0,R111+0.05)</f>
        <v>0.25</v>
      </c>
    </row>
    <row r="120" spans="2:28" x14ac:dyDescent="0.25">
      <c r="Q120" s="173">
        <f>IF($A$1="",0,Q92)</f>
        <v>0.82299999999999995</v>
      </c>
      <c r="R120" s="173">
        <f>IF($A$1="",0,R92)</f>
        <v>0.11499999999999999</v>
      </c>
    </row>
    <row r="121" spans="2:28" x14ac:dyDescent="0.25">
      <c r="Q121" s="173">
        <f>IF($A$1="",0,Q118)</f>
        <v>0.60000000000000009</v>
      </c>
      <c r="R121" s="173">
        <f>IF($A$1="",0,R118)</f>
        <v>0.25</v>
      </c>
    </row>
    <row r="123" spans="2:28" x14ac:dyDescent="0.25">
      <c r="C123" s="173">
        <v>12.8</v>
      </c>
      <c r="D123" s="173">
        <v>8.9</v>
      </c>
      <c r="F123" s="173">
        <f>C123</f>
        <v>12.8</v>
      </c>
      <c r="G123" s="173">
        <f>D123</f>
        <v>8.9</v>
      </c>
      <c r="P123" s="177" t="str">
        <f>IF(U3=0,"",U3)</f>
        <v>ELEVACIÓN</v>
      </c>
      <c r="Q123" s="173">
        <f>IF($A$1="",0,B3/2)</f>
        <v>0.55000000000000004</v>
      </c>
      <c r="R123" s="173">
        <f>IF($A$1="",0,-0.2)</f>
        <v>-0.2</v>
      </c>
    </row>
    <row r="124" spans="2:28" x14ac:dyDescent="0.25">
      <c r="D124" s="173" t="s">
        <v>98</v>
      </c>
      <c r="F124" s="191" t="s">
        <v>99</v>
      </c>
      <c r="Q124" s="191" t="s">
        <v>99</v>
      </c>
    </row>
    <row r="125" spans="2:28" x14ac:dyDescent="0.25">
      <c r="C125" s="173">
        <v>0</v>
      </c>
      <c r="D125" s="173">
        <v>0</v>
      </c>
      <c r="F125" s="173">
        <v>0</v>
      </c>
      <c r="G125" s="173">
        <v>0</v>
      </c>
      <c r="I125" s="173">
        <v>0.01</v>
      </c>
      <c r="J125" s="173">
        <v>0</v>
      </c>
      <c r="K125" s="173">
        <v>0</v>
      </c>
      <c r="L125" s="173">
        <v>0.1</v>
      </c>
      <c r="M125" s="173">
        <v>0</v>
      </c>
      <c r="N125" s="173">
        <v>0</v>
      </c>
      <c r="P125" s="173">
        <v>23</v>
      </c>
      <c r="Q125" s="173">
        <f>M125</f>
        <v>0</v>
      </c>
      <c r="R125" s="173">
        <v>7.93</v>
      </c>
      <c r="S125" s="173">
        <v>0.1</v>
      </c>
      <c r="T125" s="173">
        <f t="shared" ref="T125:T147" si="0">R125+S125</f>
        <v>8.0299999999999994</v>
      </c>
      <c r="U125" s="173">
        <v>0.11</v>
      </c>
      <c r="V125" s="173">
        <f t="shared" ref="V125:V146" si="1">T125+U125</f>
        <v>8.1399999999999988</v>
      </c>
      <c r="W125" s="173">
        <v>0.11</v>
      </c>
      <c r="X125" s="173">
        <f t="shared" ref="X125:X147" si="2">V125+W125</f>
        <v>8.2499999999999982</v>
      </c>
      <c r="Y125" s="173">
        <v>7.0000000000000007E-2</v>
      </c>
      <c r="Z125" s="173">
        <f t="shared" ref="Z125:Z147" si="3">X125+Y125</f>
        <v>8.3199999999999985</v>
      </c>
      <c r="AA125" s="173">
        <v>0.09</v>
      </c>
      <c r="AB125" s="173">
        <f t="shared" ref="AB125:AB147" si="4">Z125+AA125</f>
        <v>8.4099999999999984</v>
      </c>
    </row>
    <row r="126" spans="2:28" x14ac:dyDescent="0.25">
      <c r="B126" s="173">
        <v>0.01</v>
      </c>
      <c r="C126" s="173">
        <f>$C$123</f>
        <v>12.8</v>
      </c>
      <c r="D126" s="173">
        <v>0</v>
      </c>
      <c r="E126" s="173">
        <v>0.1</v>
      </c>
      <c r="F126" s="173">
        <v>0</v>
      </c>
      <c r="G126" s="173">
        <f>$G$123</f>
        <v>8.9</v>
      </c>
      <c r="P126" s="173">
        <v>22</v>
      </c>
      <c r="Q126" s="173">
        <f>M127</f>
        <v>1.1000000000000001</v>
      </c>
      <c r="R126" s="173">
        <v>7.58</v>
      </c>
      <c r="S126" s="173">
        <v>0.13</v>
      </c>
      <c r="T126" s="173">
        <f t="shared" si="0"/>
        <v>7.71</v>
      </c>
      <c r="U126" s="173">
        <v>0.14000000000000001</v>
      </c>
      <c r="V126" s="173">
        <f t="shared" si="1"/>
        <v>7.85</v>
      </c>
      <c r="W126" s="173">
        <v>0.11</v>
      </c>
      <c r="X126" s="173">
        <f t="shared" si="2"/>
        <v>7.96</v>
      </c>
      <c r="Y126" s="173">
        <v>0.13</v>
      </c>
      <c r="Z126" s="173">
        <f t="shared" si="3"/>
        <v>8.09</v>
      </c>
      <c r="AA126" s="173">
        <v>0.12</v>
      </c>
      <c r="AB126" s="173">
        <f t="shared" si="4"/>
        <v>8.2099999999999991</v>
      </c>
    </row>
    <row r="127" spans="2:28" x14ac:dyDescent="0.25">
      <c r="I127" s="173">
        <v>1.4999999999999999E-2</v>
      </c>
      <c r="J127" s="173">
        <f>J125</f>
        <v>0</v>
      </c>
      <c r="K127" s="173">
        <v>0.8</v>
      </c>
      <c r="L127" s="173">
        <v>0.15</v>
      </c>
      <c r="M127" s="173">
        <v>1.1000000000000001</v>
      </c>
      <c r="N127" s="173">
        <f>N125</f>
        <v>0</v>
      </c>
      <c r="P127" s="173">
        <v>21</v>
      </c>
      <c r="Q127" s="173">
        <f>M129</f>
        <v>1.9</v>
      </c>
      <c r="R127" s="173">
        <v>7.28</v>
      </c>
      <c r="S127" s="173">
        <v>0.13</v>
      </c>
      <c r="T127" s="173">
        <f t="shared" si="0"/>
        <v>7.41</v>
      </c>
      <c r="U127" s="173">
        <v>0.15</v>
      </c>
      <c r="V127" s="173">
        <f t="shared" si="1"/>
        <v>7.5600000000000005</v>
      </c>
      <c r="W127" s="173">
        <v>0.15</v>
      </c>
      <c r="X127" s="173">
        <f t="shared" si="2"/>
        <v>7.7100000000000009</v>
      </c>
      <c r="Y127" s="173">
        <v>0.16</v>
      </c>
      <c r="Z127" s="173">
        <f t="shared" si="3"/>
        <v>7.870000000000001</v>
      </c>
      <c r="AA127" s="173">
        <v>0.13</v>
      </c>
      <c r="AB127" s="173">
        <f t="shared" si="4"/>
        <v>8.0000000000000018</v>
      </c>
    </row>
    <row r="128" spans="2:28" x14ac:dyDescent="0.25">
      <c r="C128" s="173">
        <f>C125</f>
        <v>0</v>
      </c>
      <c r="D128" s="173">
        <v>0.8</v>
      </c>
      <c r="F128" s="173">
        <v>1.1000000000000001</v>
      </c>
      <c r="G128" s="173">
        <f>G125</f>
        <v>0</v>
      </c>
      <c r="P128" s="173">
        <v>20</v>
      </c>
      <c r="Q128" s="173">
        <f>M131</f>
        <v>2.5</v>
      </c>
      <c r="R128" s="173">
        <v>7.03</v>
      </c>
      <c r="S128" s="173">
        <v>0.15</v>
      </c>
      <c r="T128" s="173">
        <f t="shared" si="0"/>
        <v>7.1800000000000006</v>
      </c>
      <c r="U128" s="173">
        <v>0.15</v>
      </c>
      <c r="V128" s="173">
        <f t="shared" si="1"/>
        <v>7.330000000000001</v>
      </c>
      <c r="W128" s="173">
        <v>0.16</v>
      </c>
      <c r="X128" s="173">
        <f t="shared" si="2"/>
        <v>7.4900000000000011</v>
      </c>
      <c r="Y128" s="173">
        <v>0.19</v>
      </c>
      <c r="Z128" s="173">
        <f t="shared" si="3"/>
        <v>7.6800000000000015</v>
      </c>
      <c r="AA128" s="173">
        <v>0.16</v>
      </c>
      <c r="AB128" s="173">
        <f t="shared" si="4"/>
        <v>7.8400000000000016</v>
      </c>
    </row>
    <row r="129" spans="2:28" x14ac:dyDescent="0.25">
      <c r="B129" s="173">
        <v>1.4999999999999999E-2</v>
      </c>
      <c r="C129" s="173">
        <f>C126</f>
        <v>12.8</v>
      </c>
      <c r="D129" s="173">
        <f>D128</f>
        <v>0.8</v>
      </c>
      <c r="E129" s="173">
        <v>0.15</v>
      </c>
      <c r="F129" s="173">
        <f>F128</f>
        <v>1.1000000000000001</v>
      </c>
      <c r="G129" s="173">
        <f>G126</f>
        <v>8.9</v>
      </c>
      <c r="I129" s="173">
        <v>0.02</v>
      </c>
      <c r="J129" s="173">
        <f>J127</f>
        <v>0</v>
      </c>
      <c r="K129" s="173">
        <v>1.35</v>
      </c>
      <c r="L129" s="173">
        <v>0.2</v>
      </c>
      <c r="M129" s="173">
        <v>1.9</v>
      </c>
      <c r="N129" s="173">
        <f>N127</f>
        <v>0</v>
      </c>
      <c r="P129" s="173">
        <v>19</v>
      </c>
      <c r="Q129" s="173">
        <f>M133</f>
        <v>3.05</v>
      </c>
      <c r="R129" s="173">
        <v>6.78</v>
      </c>
      <c r="S129" s="173">
        <v>0.16</v>
      </c>
      <c r="T129" s="173">
        <f t="shared" si="0"/>
        <v>6.94</v>
      </c>
      <c r="U129" s="173">
        <v>0.19</v>
      </c>
      <c r="V129" s="173">
        <f t="shared" si="1"/>
        <v>7.1300000000000008</v>
      </c>
      <c r="W129" s="173">
        <v>0.16</v>
      </c>
      <c r="X129" s="173">
        <f t="shared" si="2"/>
        <v>7.2900000000000009</v>
      </c>
      <c r="Y129" s="173">
        <v>0.21</v>
      </c>
      <c r="Z129" s="173">
        <f t="shared" si="3"/>
        <v>7.5000000000000009</v>
      </c>
      <c r="AA129" s="173">
        <v>0.17</v>
      </c>
      <c r="AB129" s="173">
        <f t="shared" si="4"/>
        <v>7.6700000000000008</v>
      </c>
    </row>
    <row r="130" spans="2:28" x14ac:dyDescent="0.25">
      <c r="P130" s="173">
        <v>18</v>
      </c>
      <c r="Q130" s="173">
        <f>M135</f>
        <v>3.8</v>
      </c>
      <c r="R130" s="173">
        <v>6.42</v>
      </c>
      <c r="S130" s="173">
        <v>0.16</v>
      </c>
      <c r="T130" s="173">
        <f t="shared" si="0"/>
        <v>6.58</v>
      </c>
      <c r="U130" s="173">
        <v>0.21</v>
      </c>
      <c r="V130" s="173">
        <f t="shared" si="1"/>
        <v>6.79</v>
      </c>
      <c r="W130" s="173">
        <v>0.19</v>
      </c>
      <c r="X130" s="173">
        <f t="shared" si="2"/>
        <v>6.98</v>
      </c>
      <c r="Y130" s="173">
        <v>0.23</v>
      </c>
      <c r="Z130" s="173">
        <f t="shared" si="3"/>
        <v>7.2100000000000009</v>
      </c>
      <c r="AA130" s="173">
        <v>0.21</v>
      </c>
      <c r="AB130" s="173">
        <f t="shared" si="4"/>
        <v>7.4200000000000008</v>
      </c>
    </row>
    <row r="131" spans="2:28" x14ac:dyDescent="0.25">
      <c r="C131" s="173">
        <f>C128</f>
        <v>0</v>
      </c>
      <c r="D131" s="173">
        <v>1.35</v>
      </c>
      <c r="F131" s="173">
        <v>1.9</v>
      </c>
      <c r="G131" s="173">
        <f>G128</f>
        <v>0</v>
      </c>
      <c r="I131" s="173">
        <v>2.5000000000000001E-2</v>
      </c>
      <c r="J131" s="173">
        <f>J129</f>
        <v>0</v>
      </c>
      <c r="K131" s="173">
        <v>1.75</v>
      </c>
      <c r="L131" s="173">
        <v>0.25</v>
      </c>
      <c r="M131" s="173">
        <v>2.5</v>
      </c>
      <c r="N131" s="173">
        <f>N129</f>
        <v>0</v>
      </c>
      <c r="P131" s="173">
        <v>17</v>
      </c>
      <c r="Q131" s="173">
        <f>M137</f>
        <v>4.45</v>
      </c>
      <c r="R131" s="173">
        <v>6.06</v>
      </c>
      <c r="S131" s="173">
        <v>0.2</v>
      </c>
      <c r="T131" s="173">
        <f t="shared" si="0"/>
        <v>6.26</v>
      </c>
      <c r="U131" s="173">
        <v>0.22</v>
      </c>
      <c r="V131" s="173">
        <f t="shared" si="1"/>
        <v>6.4799999999999995</v>
      </c>
      <c r="W131" s="173">
        <v>0.19</v>
      </c>
      <c r="X131" s="173">
        <f t="shared" si="2"/>
        <v>6.67</v>
      </c>
      <c r="Y131" s="173">
        <v>0.24</v>
      </c>
      <c r="Z131" s="173">
        <f t="shared" si="3"/>
        <v>6.91</v>
      </c>
      <c r="AA131" s="173">
        <v>0.25</v>
      </c>
      <c r="AB131" s="173">
        <f t="shared" si="4"/>
        <v>7.16</v>
      </c>
    </row>
    <row r="132" spans="2:28" x14ac:dyDescent="0.25">
      <c r="B132" s="173">
        <v>0.02</v>
      </c>
      <c r="C132" s="173">
        <f>C129</f>
        <v>12.8</v>
      </c>
      <c r="D132" s="173">
        <f>D131</f>
        <v>1.35</v>
      </c>
      <c r="E132" s="173">
        <v>0.2</v>
      </c>
      <c r="F132" s="173">
        <f>F131</f>
        <v>1.9</v>
      </c>
      <c r="G132" s="173">
        <f>G129</f>
        <v>8.9</v>
      </c>
      <c r="P132" s="173">
        <v>16</v>
      </c>
      <c r="Q132" s="173">
        <f>M139</f>
        <v>4.95</v>
      </c>
      <c r="R132" s="173">
        <v>5.8</v>
      </c>
      <c r="S132" s="173">
        <v>0.19</v>
      </c>
      <c r="T132" s="173">
        <f t="shared" si="0"/>
        <v>5.99</v>
      </c>
      <c r="U132" s="173">
        <v>0.23</v>
      </c>
      <c r="V132" s="173">
        <f t="shared" si="1"/>
        <v>6.2200000000000006</v>
      </c>
      <c r="W132" s="173">
        <v>0.22</v>
      </c>
      <c r="X132" s="173">
        <f t="shared" si="2"/>
        <v>6.44</v>
      </c>
      <c r="Y132" s="173">
        <v>0.24</v>
      </c>
      <c r="Z132" s="173">
        <f t="shared" si="3"/>
        <v>6.6800000000000006</v>
      </c>
      <c r="AA132" s="173">
        <v>0.26</v>
      </c>
      <c r="AB132" s="173">
        <f t="shared" si="4"/>
        <v>6.94</v>
      </c>
    </row>
    <row r="133" spans="2:28" x14ac:dyDescent="0.25">
      <c r="I133" s="173">
        <v>0.03</v>
      </c>
      <c r="J133" s="173">
        <f>J131</f>
        <v>0</v>
      </c>
      <c r="K133" s="173">
        <v>2.1</v>
      </c>
      <c r="L133" s="173">
        <v>0.3</v>
      </c>
      <c r="M133" s="173">
        <v>3.05</v>
      </c>
      <c r="N133" s="173">
        <f>N131</f>
        <v>0</v>
      </c>
      <c r="P133" s="173">
        <v>15</v>
      </c>
      <c r="Q133" s="173">
        <f>M141</f>
        <v>5.4</v>
      </c>
      <c r="R133" s="173">
        <v>5.54</v>
      </c>
      <c r="S133" s="173">
        <v>0.22</v>
      </c>
      <c r="T133" s="173">
        <f t="shared" si="0"/>
        <v>5.76</v>
      </c>
      <c r="U133" s="173">
        <v>0.21</v>
      </c>
      <c r="V133" s="173">
        <f t="shared" si="1"/>
        <v>5.97</v>
      </c>
      <c r="W133" s="173">
        <v>0.22</v>
      </c>
      <c r="X133" s="173">
        <f t="shared" si="2"/>
        <v>6.1899999999999995</v>
      </c>
      <c r="Y133" s="173">
        <v>0.27</v>
      </c>
      <c r="Z133" s="173">
        <f t="shared" si="3"/>
        <v>6.4599999999999991</v>
      </c>
      <c r="AA133" s="173">
        <v>0.28000000000000003</v>
      </c>
      <c r="AB133" s="173">
        <f t="shared" si="4"/>
        <v>6.7399999999999993</v>
      </c>
    </row>
    <row r="134" spans="2:28" x14ac:dyDescent="0.25">
      <c r="C134" s="173">
        <f>C131</f>
        <v>0</v>
      </c>
      <c r="D134" s="173">
        <v>1.75</v>
      </c>
      <c r="F134" s="173">
        <v>2.5</v>
      </c>
      <c r="G134" s="173">
        <f>G131</f>
        <v>0</v>
      </c>
      <c r="P134" s="173">
        <v>14</v>
      </c>
      <c r="Q134" s="173">
        <f>M143</f>
        <v>5.75</v>
      </c>
      <c r="R134" s="173">
        <v>5.33</v>
      </c>
      <c r="S134" s="173">
        <v>0.23</v>
      </c>
      <c r="T134" s="173">
        <f t="shared" si="0"/>
        <v>5.5600000000000005</v>
      </c>
      <c r="U134" s="173">
        <v>0.23</v>
      </c>
      <c r="V134" s="173">
        <f t="shared" si="1"/>
        <v>5.7900000000000009</v>
      </c>
      <c r="W134" s="173">
        <v>0.22</v>
      </c>
      <c r="X134" s="173">
        <f t="shared" si="2"/>
        <v>6.0100000000000007</v>
      </c>
      <c r="Y134" s="173">
        <v>0.27</v>
      </c>
      <c r="Z134" s="173">
        <f t="shared" si="3"/>
        <v>6.2800000000000011</v>
      </c>
      <c r="AA134" s="173">
        <v>0.3</v>
      </c>
      <c r="AB134" s="173">
        <f t="shared" si="4"/>
        <v>6.580000000000001</v>
      </c>
    </row>
    <row r="135" spans="2:28" x14ac:dyDescent="0.25">
      <c r="B135" s="173">
        <v>2.5000000000000001E-2</v>
      </c>
      <c r="C135" s="173">
        <f>C132</f>
        <v>12.8</v>
      </c>
      <c r="D135" s="173">
        <f>D134</f>
        <v>1.75</v>
      </c>
      <c r="E135" s="173">
        <v>0.25</v>
      </c>
      <c r="F135" s="173">
        <f>F134</f>
        <v>2.5</v>
      </c>
      <c r="G135" s="173">
        <f>G132</f>
        <v>8.9</v>
      </c>
      <c r="I135" s="173">
        <v>0.04</v>
      </c>
      <c r="J135" s="173">
        <f>J133</f>
        <v>0</v>
      </c>
      <c r="K135" s="173">
        <v>2.65</v>
      </c>
      <c r="L135" s="173">
        <v>0.4</v>
      </c>
      <c r="M135" s="173">
        <v>3.8</v>
      </c>
      <c r="N135" s="173">
        <f>N133</f>
        <v>0</v>
      </c>
      <c r="P135" s="173">
        <v>13</v>
      </c>
      <c r="Q135" s="173">
        <f>M145</f>
        <v>6.1</v>
      </c>
      <c r="R135" s="173">
        <v>5.15</v>
      </c>
      <c r="S135" s="173">
        <v>0.19</v>
      </c>
      <c r="T135" s="173">
        <f t="shared" si="0"/>
        <v>5.3400000000000007</v>
      </c>
      <c r="U135" s="173">
        <v>0.25</v>
      </c>
      <c r="V135" s="173">
        <f t="shared" si="1"/>
        <v>5.5900000000000007</v>
      </c>
      <c r="W135" s="173">
        <v>0.25</v>
      </c>
      <c r="X135" s="173">
        <f t="shared" si="2"/>
        <v>5.8400000000000007</v>
      </c>
      <c r="Y135" s="173">
        <v>0.26</v>
      </c>
      <c r="Z135" s="173">
        <f t="shared" si="3"/>
        <v>6.1000000000000005</v>
      </c>
      <c r="AA135" s="173">
        <v>0.3</v>
      </c>
      <c r="AB135" s="173">
        <f t="shared" si="4"/>
        <v>6.4</v>
      </c>
    </row>
    <row r="136" spans="2:28" x14ac:dyDescent="0.25">
      <c r="P136" s="173">
        <v>12</v>
      </c>
      <c r="Q136" s="173">
        <f>M147</f>
        <v>6.4</v>
      </c>
      <c r="R136" s="173">
        <v>4.9550000000000001</v>
      </c>
      <c r="S136" s="173">
        <v>0.2</v>
      </c>
      <c r="T136" s="173">
        <f t="shared" si="0"/>
        <v>5.1550000000000002</v>
      </c>
      <c r="U136" s="173">
        <v>0.25</v>
      </c>
      <c r="V136" s="173">
        <f t="shared" si="1"/>
        <v>5.4050000000000002</v>
      </c>
      <c r="W136" s="173">
        <v>0.26</v>
      </c>
      <c r="X136" s="173">
        <f t="shared" si="2"/>
        <v>5.665</v>
      </c>
      <c r="Y136" s="173">
        <v>0.26</v>
      </c>
      <c r="Z136" s="173">
        <f t="shared" si="3"/>
        <v>5.9249999999999998</v>
      </c>
      <c r="AA136" s="173">
        <v>0.32</v>
      </c>
      <c r="AB136" s="173">
        <f t="shared" si="4"/>
        <v>6.2450000000000001</v>
      </c>
    </row>
    <row r="137" spans="2:28" x14ac:dyDescent="0.25">
      <c r="C137" s="173">
        <f>C134</f>
        <v>0</v>
      </c>
      <c r="D137" s="173">
        <v>2.1</v>
      </c>
      <c r="F137" s="173">
        <v>3.05</v>
      </c>
      <c r="G137" s="173">
        <f>G134</f>
        <v>0</v>
      </c>
      <c r="I137" s="173">
        <v>0.05</v>
      </c>
      <c r="J137" s="173">
        <f>J135</f>
        <v>0</v>
      </c>
      <c r="K137" s="173">
        <v>3.1</v>
      </c>
      <c r="L137" s="173">
        <v>0.5</v>
      </c>
      <c r="M137" s="173">
        <v>4.45</v>
      </c>
      <c r="N137" s="173">
        <f>N135</f>
        <v>0</v>
      </c>
      <c r="P137" s="173">
        <v>11</v>
      </c>
      <c r="Q137" s="173">
        <f>M149</f>
        <v>7.55</v>
      </c>
      <c r="R137" s="173">
        <v>4.24</v>
      </c>
      <c r="S137" s="173">
        <v>0.22</v>
      </c>
      <c r="T137" s="173">
        <f t="shared" si="0"/>
        <v>4.46</v>
      </c>
      <c r="U137" s="173">
        <v>0.26</v>
      </c>
      <c r="V137" s="173">
        <f t="shared" si="1"/>
        <v>4.72</v>
      </c>
      <c r="W137" s="173">
        <v>0.27</v>
      </c>
      <c r="X137" s="173">
        <f t="shared" si="2"/>
        <v>4.99</v>
      </c>
      <c r="Y137" s="173">
        <v>0.28999999999999998</v>
      </c>
      <c r="Z137" s="173">
        <f t="shared" si="3"/>
        <v>5.28</v>
      </c>
      <c r="AA137" s="173">
        <v>0.33</v>
      </c>
      <c r="AB137" s="173">
        <f t="shared" si="4"/>
        <v>5.61</v>
      </c>
    </row>
    <row r="138" spans="2:28" x14ac:dyDescent="0.25">
      <c r="B138" s="173">
        <v>0.03</v>
      </c>
      <c r="C138" s="173">
        <f>C135</f>
        <v>12.8</v>
      </c>
      <c r="D138" s="173">
        <f>D137</f>
        <v>2.1</v>
      </c>
      <c r="E138" s="173">
        <v>0.3</v>
      </c>
      <c r="F138" s="173">
        <f>F137</f>
        <v>3.05</v>
      </c>
      <c r="G138" s="173">
        <f>G135</f>
        <v>8.9</v>
      </c>
      <c r="P138" s="173">
        <v>10</v>
      </c>
      <c r="Q138" s="173">
        <f>M151</f>
        <v>8.3000000000000007</v>
      </c>
      <c r="R138" s="173">
        <v>3.75</v>
      </c>
      <c r="S138" s="173">
        <v>0.22</v>
      </c>
      <c r="T138" s="173">
        <f t="shared" si="0"/>
        <v>3.97</v>
      </c>
      <c r="U138" s="173">
        <v>0.3</v>
      </c>
      <c r="V138" s="173">
        <f t="shared" si="1"/>
        <v>4.2700000000000005</v>
      </c>
      <c r="W138" s="173">
        <v>0.26</v>
      </c>
      <c r="X138" s="173">
        <f t="shared" si="2"/>
        <v>4.53</v>
      </c>
      <c r="Y138" s="173">
        <v>0.31</v>
      </c>
      <c r="Z138" s="173">
        <f t="shared" si="3"/>
        <v>4.84</v>
      </c>
      <c r="AA138" s="173">
        <v>0.34</v>
      </c>
      <c r="AB138" s="173">
        <f t="shared" si="4"/>
        <v>5.18</v>
      </c>
    </row>
    <row r="139" spans="2:28" x14ac:dyDescent="0.25">
      <c r="I139" s="173">
        <v>0.06</v>
      </c>
      <c r="J139" s="173">
        <f>J137</f>
        <v>0</v>
      </c>
      <c r="K139" s="173">
        <v>3.45</v>
      </c>
      <c r="L139" s="173">
        <v>0.6</v>
      </c>
      <c r="M139" s="173">
        <v>4.95</v>
      </c>
      <c r="N139" s="173">
        <f>N137</f>
        <v>0</v>
      </c>
      <c r="P139" s="173">
        <v>9</v>
      </c>
      <c r="Q139" s="173">
        <f>M153</f>
        <v>8.9499999999999993</v>
      </c>
      <c r="R139" s="173">
        <v>3.2949999999999999</v>
      </c>
      <c r="S139" s="173">
        <v>0.25</v>
      </c>
      <c r="T139" s="173">
        <f t="shared" si="0"/>
        <v>3.5449999999999999</v>
      </c>
      <c r="U139" s="173">
        <v>0.28999999999999998</v>
      </c>
      <c r="V139" s="173">
        <f t="shared" si="1"/>
        <v>3.835</v>
      </c>
      <c r="W139" s="173">
        <v>0.28000000000000003</v>
      </c>
      <c r="X139" s="173">
        <f t="shared" si="2"/>
        <v>4.1150000000000002</v>
      </c>
      <c r="Y139" s="173">
        <v>0.31</v>
      </c>
      <c r="Z139" s="173">
        <f t="shared" si="3"/>
        <v>4.4249999999999998</v>
      </c>
      <c r="AA139" s="173">
        <v>0.36</v>
      </c>
      <c r="AB139" s="173">
        <f t="shared" si="4"/>
        <v>4.7850000000000001</v>
      </c>
    </row>
    <row r="140" spans="2:28" x14ac:dyDescent="0.25">
      <c r="C140" s="173">
        <f>C137</f>
        <v>0</v>
      </c>
      <c r="D140" s="173">
        <v>2.65</v>
      </c>
      <c r="F140" s="173">
        <v>3.8</v>
      </c>
      <c r="G140" s="173">
        <f>G137</f>
        <v>0</v>
      </c>
      <c r="P140" s="173">
        <v>8</v>
      </c>
      <c r="Q140" s="173">
        <f>M155</f>
        <v>9.4499999999999993</v>
      </c>
      <c r="R140" s="173">
        <v>2.9649999999999999</v>
      </c>
      <c r="S140" s="173">
        <v>0.23</v>
      </c>
      <c r="T140" s="173">
        <f t="shared" si="0"/>
        <v>3.1949999999999998</v>
      </c>
      <c r="U140" s="173">
        <v>0.31</v>
      </c>
      <c r="V140" s="173">
        <f t="shared" si="1"/>
        <v>3.5049999999999999</v>
      </c>
      <c r="W140" s="173">
        <v>0.28999999999999998</v>
      </c>
      <c r="X140" s="173">
        <f t="shared" si="2"/>
        <v>3.7949999999999999</v>
      </c>
      <c r="Y140" s="173">
        <v>0.32</v>
      </c>
      <c r="Z140" s="173">
        <f t="shared" si="3"/>
        <v>4.1150000000000002</v>
      </c>
      <c r="AA140" s="173">
        <v>0.35</v>
      </c>
      <c r="AB140" s="173">
        <f t="shared" si="4"/>
        <v>4.4649999999999999</v>
      </c>
    </row>
    <row r="141" spans="2:28" x14ac:dyDescent="0.25">
      <c r="B141" s="173">
        <v>0.04</v>
      </c>
      <c r="C141" s="173">
        <f>C138</f>
        <v>12.8</v>
      </c>
      <c r="D141" s="173">
        <f>D140</f>
        <v>2.65</v>
      </c>
      <c r="E141" s="173">
        <v>0.4</v>
      </c>
      <c r="F141" s="173">
        <f>F140</f>
        <v>3.8</v>
      </c>
      <c r="G141" s="173">
        <f>G138</f>
        <v>8.9</v>
      </c>
      <c r="I141" s="173">
        <v>7.0000000000000007E-2</v>
      </c>
      <c r="J141" s="173">
        <f>J139</f>
        <v>0</v>
      </c>
      <c r="K141" s="173">
        <v>3.75</v>
      </c>
      <c r="L141" s="173">
        <v>0.7</v>
      </c>
      <c r="M141" s="173">
        <v>5.4</v>
      </c>
      <c r="N141" s="173">
        <f>N139</f>
        <v>0</v>
      </c>
      <c r="P141" s="173">
        <v>7</v>
      </c>
      <c r="Q141" s="173">
        <f>M157</f>
        <v>10.25</v>
      </c>
      <c r="R141" s="173">
        <v>2.42</v>
      </c>
      <c r="S141" s="173">
        <v>0.24</v>
      </c>
      <c r="T141" s="173">
        <f t="shared" si="0"/>
        <v>2.66</v>
      </c>
      <c r="U141" s="173">
        <v>0.3</v>
      </c>
      <c r="V141" s="173">
        <f t="shared" si="1"/>
        <v>2.96</v>
      </c>
      <c r="W141" s="173">
        <v>0.3</v>
      </c>
      <c r="X141" s="173">
        <f t="shared" si="2"/>
        <v>3.26</v>
      </c>
      <c r="Y141" s="173">
        <v>0.32</v>
      </c>
      <c r="Z141" s="173">
        <f t="shared" si="3"/>
        <v>3.5799999999999996</v>
      </c>
      <c r="AA141" s="173">
        <v>0.37</v>
      </c>
      <c r="AB141" s="173">
        <f t="shared" si="4"/>
        <v>3.9499999999999997</v>
      </c>
    </row>
    <row r="142" spans="2:28" x14ac:dyDescent="0.25">
      <c r="P142" s="173">
        <v>6</v>
      </c>
      <c r="Q142" s="173">
        <f>M159</f>
        <v>10.85</v>
      </c>
      <c r="R142" s="173">
        <v>2.0249999999999999</v>
      </c>
      <c r="S142" s="173">
        <v>0.25</v>
      </c>
      <c r="T142" s="173">
        <f t="shared" si="0"/>
        <v>2.2749999999999999</v>
      </c>
      <c r="U142" s="173">
        <v>0.28999999999999998</v>
      </c>
      <c r="V142" s="173">
        <f t="shared" si="1"/>
        <v>2.5649999999999999</v>
      </c>
      <c r="W142" s="173">
        <v>0.3</v>
      </c>
      <c r="X142" s="173">
        <f t="shared" si="2"/>
        <v>2.8649999999999998</v>
      </c>
      <c r="Y142" s="173">
        <v>0.31</v>
      </c>
      <c r="Z142" s="173">
        <f t="shared" si="3"/>
        <v>3.1749999999999998</v>
      </c>
      <c r="AA142" s="173">
        <v>0.38</v>
      </c>
      <c r="AB142" s="173">
        <f t="shared" si="4"/>
        <v>3.5549999999999997</v>
      </c>
    </row>
    <row r="143" spans="2:28" x14ac:dyDescent="0.25">
      <c r="C143" s="173">
        <f>C140</f>
        <v>0</v>
      </c>
      <c r="D143" s="173">
        <v>3.1</v>
      </c>
      <c r="F143" s="173">
        <v>4.45</v>
      </c>
      <c r="G143" s="173">
        <f>G140</f>
        <v>0</v>
      </c>
      <c r="I143" s="173">
        <v>0.08</v>
      </c>
      <c r="J143" s="173">
        <f>J141</f>
        <v>0</v>
      </c>
      <c r="K143" s="173">
        <v>4</v>
      </c>
      <c r="L143" s="173">
        <v>0.8</v>
      </c>
      <c r="M143" s="173">
        <v>5.75</v>
      </c>
      <c r="N143" s="173">
        <f>N141</f>
        <v>0</v>
      </c>
      <c r="P143" s="173">
        <v>5</v>
      </c>
      <c r="Q143" s="173">
        <f>M161</f>
        <v>11.4</v>
      </c>
      <c r="R143" s="173">
        <v>1.67</v>
      </c>
      <c r="S143" s="173">
        <v>0.26</v>
      </c>
      <c r="T143" s="173">
        <f t="shared" si="0"/>
        <v>1.93</v>
      </c>
      <c r="U143" s="173">
        <v>0.28000000000000003</v>
      </c>
      <c r="V143" s="173">
        <f t="shared" si="1"/>
        <v>2.21</v>
      </c>
      <c r="W143" s="173">
        <v>0.28999999999999998</v>
      </c>
      <c r="X143" s="173">
        <f t="shared" si="2"/>
        <v>2.5</v>
      </c>
      <c r="Y143" s="173">
        <v>0.31</v>
      </c>
      <c r="Z143" s="173">
        <f t="shared" si="3"/>
        <v>2.81</v>
      </c>
      <c r="AA143" s="173">
        <v>0.38</v>
      </c>
      <c r="AB143" s="173">
        <f t="shared" si="4"/>
        <v>3.19</v>
      </c>
    </row>
    <row r="144" spans="2:28" x14ac:dyDescent="0.25">
      <c r="B144" s="173">
        <v>0.05</v>
      </c>
      <c r="C144" s="173">
        <f>C141</f>
        <v>12.8</v>
      </c>
      <c r="D144" s="173">
        <f>D143</f>
        <v>3.1</v>
      </c>
      <c r="E144" s="173">
        <v>0.5</v>
      </c>
      <c r="F144" s="173">
        <f>F143</f>
        <v>4.45</v>
      </c>
      <c r="G144" s="173">
        <f>G141</f>
        <v>8.9</v>
      </c>
      <c r="P144" s="173">
        <v>4</v>
      </c>
      <c r="Q144" s="173">
        <f>M163</f>
        <v>11.85</v>
      </c>
      <c r="R144" s="173">
        <v>1.375</v>
      </c>
      <c r="S144" s="173">
        <v>0.27</v>
      </c>
      <c r="T144" s="173">
        <f t="shared" si="0"/>
        <v>1.645</v>
      </c>
      <c r="U144" s="173">
        <v>0.27</v>
      </c>
      <c r="V144" s="173">
        <f t="shared" si="1"/>
        <v>1.915</v>
      </c>
      <c r="W144" s="173">
        <v>0.3</v>
      </c>
      <c r="X144" s="173">
        <f t="shared" si="2"/>
        <v>2.2149999999999999</v>
      </c>
      <c r="Y144" s="173">
        <v>0.3</v>
      </c>
      <c r="Z144" s="173">
        <f t="shared" si="3"/>
        <v>2.5149999999999997</v>
      </c>
      <c r="AA144" s="173">
        <v>0.4</v>
      </c>
      <c r="AB144" s="173">
        <f t="shared" si="4"/>
        <v>2.9149999999999996</v>
      </c>
    </row>
    <row r="145" spans="2:29" x14ac:dyDescent="0.25">
      <c r="I145" s="173">
        <v>0.09</v>
      </c>
      <c r="J145" s="173">
        <f>J143</f>
        <v>0</v>
      </c>
      <c r="K145" s="173">
        <v>4.25</v>
      </c>
      <c r="L145" s="173">
        <v>0.9</v>
      </c>
      <c r="M145" s="173">
        <v>6.1</v>
      </c>
      <c r="N145" s="173">
        <f>N143</f>
        <v>0</v>
      </c>
      <c r="P145" s="173">
        <v>3</v>
      </c>
      <c r="Q145" s="173">
        <f>M165</f>
        <v>12.2</v>
      </c>
      <c r="R145" s="173">
        <v>1.1399999999999999</v>
      </c>
      <c r="S145" s="173">
        <v>0.28000000000000003</v>
      </c>
      <c r="T145" s="173">
        <f t="shared" si="0"/>
        <v>1.42</v>
      </c>
      <c r="U145" s="173">
        <v>0.26</v>
      </c>
      <c r="V145" s="173">
        <f t="shared" si="1"/>
        <v>1.68</v>
      </c>
      <c r="W145" s="173">
        <v>0.31</v>
      </c>
      <c r="X145" s="173">
        <f t="shared" si="2"/>
        <v>1.99</v>
      </c>
      <c r="Y145" s="173">
        <v>0.3</v>
      </c>
      <c r="Z145" s="173">
        <f t="shared" si="3"/>
        <v>2.29</v>
      </c>
      <c r="AA145" s="173">
        <v>0.39</v>
      </c>
      <c r="AB145" s="173">
        <f t="shared" si="4"/>
        <v>2.68</v>
      </c>
    </row>
    <row r="146" spans="2:29" x14ac:dyDescent="0.25">
      <c r="C146" s="173">
        <f>C143</f>
        <v>0</v>
      </c>
      <c r="D146" s="173">
        <v>3.45</v>
      </c>
      <c r="F146" s="173">
        <v>4.95</v>
      </c>
      <c r="G146" s="173">
        <f>G143</f>
        <v>0</v>
      </c>
      <c r="P146" s="173">
        <v>2</v>
      </c>
      <c r="Q146" s="173">
        <f>M167</f>
        <v>12.5</v>
      </c>
      <c r="R146" s="173">
        <v>0.92</v>
      </c>
      <c r="S146" s="173">
        <v>0.28999999999999998</v>
      </c>
      <c r="T146" s="173">
        <f t="shared" si="0"/>
        <v>1.21</v>
      </c>
      <c r="U146" s="173">
        <v>0.25</v>
      </c>
      <c r="V146" s="173">
        <f t="shared" si="1"/>
        <v>1.46</v>
      </c>
      <c r="W146" s="173">
        <v>0.32</v>
      </c>
      <c r="X146" s="173">
        <f t="shared" si="2"/>
        <v>1.78</v>
      </c>
      <c r="Y146" s="173">
        <v>0.3</v>
      </c>
      <c r="Z146" s="173">
        <f t="shared" si="3"/>
        <v>2.08</v>
      </c>
      <c r="AA146" s="173">
        <v>0.38</v>
      </c>
      <c r="AB146" s="173">
        <f t="shared" si="4"/>
        <v>2.46</v>
      </c>
    </row>
    <row r="147" spans="2:29" x14ac:dyDescent="0.25">
      <c r="B147" s="173">
        <v>0.06</v>
      </c>
      <c r="C147" s="173">
        <f>C144</f>
        <v>12.8</v>
      </c>
      <c r="D147" s="173">
        <f>D146</f>
        <v>3.45</v>
      </c>
      <c r="E147" s="173">
        <v>0.6</v>
      </c>
      <c r="F147" s="173">
        <f>F146</f>
        <v>4.95</v>
      </c>
      <c r="G147" s="173">
        <f>G144</f>
        <v>8.9</v>
      </c>
      <c r="I147" s="173">
        <v>0.1</v>
      </c>
      <c r="J147" s="173">
        <f>J145</f>
        <v>0</v>
      </c>
      <c r="K147" s="173">
        <v>4.45</v>
      </c>
      <c r="L147" s="173">
        <v>1</v>
      </c>
      <c r="M147" s="173">
        <v>6.4</v>
      </c>
      <c r="N147" s="173">
        <f>N145</f>
        <v>0</v>
      </c>
      <c r="P147" s="173">
        <v>1</v>
      </c>
      <c r="Q147" s="173">
        <f>M169</f>
        <v>12.8</v>
      </c>
      <c r="R147" s="173">
        <v>0.71799999999999997</v>
      </c>
      <c r="S147" s="173">
        <v>0.3</v>
      </c>
      <c r="T147" s="173">
        <f t="shared" si="0"/>
        <v>1.018</v>
      </c>
      <c r="U147" s="173">
        <v>0.24</v>
      </c>
      <c r="V147" s="173">
        <f>T147+U147</f>
        <v>1.258</v>
      </c>
      <c r="W147" s="173">
        <v>0.34</v>
      </c>
      <c r="X147" s="173">
        <f t="shared" si="2"/>
        <v>1.5980000000000001</v>
      </c>
      <c r="Y147" s="173">
        <v>0.28000000000000003</v>
      </c>
      <c r="Z147" s="173">
        <f t="shared" si="3"/>
        <v>1.8780000000000001</v>
      </c>
      <c r="AA147" s="173">
        <v>0.39400000000000002</v>
      </c>
      <c r="AB147" s="173">
        <f t="shared" si="4"/>
        <v>2.2720000000000002</v>
      </c>
    </row>
    <row r="148" spans="2:29" x14ac:dyDescent="0.25">
      <c r="R148" s="173">
        <v>0.1</v>
      </c>
      <c r="S148" s="173">
        <v>0</v>
      </c>
    </row>
    <row r="149" spans="2:29" x14ac:dyDescent="0.25">
      <c r="C149" s="173">
        <f>C146</f>
        <v>0</v>
      </c>
      <c r="D149" s="173">
        <v>3.75</v>
      </c>
      <c r="F149" s="173">
        <v>5.4</v>
      </c>
      <c r="G149" s="173">
        <f>G146</f>
        <v>0</v>
      </c>
      <c r="I149" s="173">
        <v>0.15</v>
      </c>
      <c r="J149" s="173">
        <f>J147</f>
        <v>0</v>
      </c>
      <c r="K149" s="173">
        <v>5.25</v>
      </c>
      <c r="L149" s="173">
        <v>1.5</v>
      </c>
      <c r="M149" s="173">
        <v>7.55</v>
      </c>
      <c r="N149" s="173">
        <f>N147</f>
        <v>0</v>
      </c>
      <c r="P149" s="191"/>
      <c r="Q149" s="173">
        <v>0.5</v>
      </c>
      <c r="R149" s="173">
        <f>Q147-R148</f>
        <v>12.700000000000001</v>
      </c>
      <c r="S149" s="173">
        <f>R147+S148</f>
        <v>0.71799999999999997</v>
      </c>
    </row>
    <row r="150" spans="2:29" x14ac:dyDescent="0.25">
      <c r="B150" s="173">
        <v>7.0000000000000007E-2</v>
      </c>
      <c r="C150" s="173">
        <f>C147</f>
        <v>12.8</v>
      </c>
      <c r="D150" s="173">
        <f>D149</f>
        <v>3.75</v>
      </c>
      <c r="E150" s="173">
        <v>0.7</v>
      </c>
      <c r="F150" s="173">
        <f>F149</f>
        <v>5.4</v>
      </c>
      <c r="G150" s="173">
        <f>G147</f>
        <v>8.9</v>
      </c>
      <c r="Q150" s="173">
        <v>0.4</v>
      </c>
      <c r="R150" s="173">
        <f>+R149</f>
        <v>12.700000000000001</v>
      </c>
      <c r="S150" s="173">
        <f>T147+S148</f>
        <v>1.018</v>
      </c>
    </row>
    <row r="151" spans="2:29" x14ac:dyDescent="0.25">
      <c r="I151" s="173">
        <v>0.2</v>
      </c>
      <c r="J151" s="173">
        <f>J149</f>
        <v>0</v>
      </c>
      <c r="K151" s="173">
        <v>5.8</v>
      </c>
      <c r="L151" s="173">
        <v>2</v>
      </c>
      <c r="M151" s="173">
        <v>8.3000000000000007</v>
      </c>
      <c r="N151" s="173">
        <f>N149</f>
        <v>0</v>
      </c>
      <c r="Q151" s="173">
        <v>0.3</v>
      </c>
      <c r="R151" s="173">
        <f t="shared" ref="R151:R154" si="5">+R150</f>
        <v>12.700000000000001</v>
      </c>
      <c r="S151" s="173">
        <f>V147+S148</f>
        <v>1.258</v>
      </c>
    </row>
    <row r="152" spans="2:29" x14ac:dyDescent="0.25">
      <c r="C152" s="173">
        <f>C149</f>
        <v>0</v>
      </c>
      <c r="D152" s="173">
        <v>4</v>
      </c>
      <c r="F152" s="173">
        <v>5.75</v>
      </c>
      <c r="G152" s="173">
        <f>G149</f>
        <v>0</v>
      </c>
      <c r="Q152" s="173">
        <v>0.2</v>
      </c>
      <c r="R152" s="173">
        <f t="shared" si="5"/>
        <v>12.700000000000001</v>
      </c>
      <c r="S152" s="173">
        <f>X147+S148</f>
        <v>1.5980000000000001</v>
      </c>
    </row>
    <row r="153" spans="2:29" x14ac:dyDescent="0.25">
      <c r="B153" s="173">
        <v>0.08</v>
      </c>
      <c r="C153" s="173">
        <f>C150</f>
        <v>12.8</v>
      </c>
      <c r="D153" s="173">
        <f>D152</f>
        <v>4</v>
      </c>
      <c r="E153" s="173">
        <v>0.8</v>
      </c>
      <c r="F153" s="173">
        <f>F152</f>
        <v>5.75</v>
      </c>
      <c r="G153" s="173">
        <f>G150</f>
        <v>8.9</v>
      </c>
      <c r="I153" s="173">
        <v>0.25</v>
      </c>
      <c r="J153" s="173">
        <f>J151</f>
        <v>0</v>
      </c>
      <c r="K153" s="173">
        <v>6.25</v>
      </c>
      <c r="L153" s="173">
        <v>2.5</v>
      </c>
      <c r="M153" s="173">
        <v>8.9499999999999993</v>
      </c>
      <c r="N153" s="173">
        <f>N151</f>
        <v>0</v>
      </c>
      <c r="Q153" s="173">
        <v>0.1</v>
      </c>
      <c r="R153" s="173">
        <f t="shared" si="5"/>
        <v>12.700000000000001</v>
      </c>
      <c r="S153" s="173">
        <f>Z147+S148</f>
        <v>1.8780000000000001</v>
      </c>
    </row>
    <row r="154" spans="2:29" x14ac:dyDescent="0.25">
      <c r="Q154" s="173" t="s">
        <v>100</v>
      </c>
      <c r="R154" s="173">
        <f t="shared" si="5"/>
        <v>12.700000000000001</v>
      </c>
      <c r="S154" s="173">
        <f>AB147+S148</f>
        <v>2.2720000000000002</v>
      </c>
    </row>
    <row r="155" spans="2:29" x14ac:dyDescent="0.25">
      <c r="C155" s="173">
        <f>C152</f>
        <v>0</v>
      </c>
      <c r="D155" s="173">
        <v>4.25</v>
      </c>
      <c r="F155" s="173">
        <v>6.1</v>
      </c>
      <c r="G155" s="173">
        <f>G152</f>
        <v>0</v>
      </c>
      <c r="I155" s="173">
        <v>0.3</v>
      </c>
      <c r="J155" s="173">
        <f>J153</f>
        <v>0</v>
      </c>
      <c r="K155" s="173">
        <v>6.65</v>
      </c>
      <c r="L155" s="173">
        <v>3</v>
      </c>
      <c r="M155" s="173">
        <v>9.4499999999999993</v>
      </c>
      <c r="N155" s="173">
        <f>N153</f>
        <v>0</v>
      </c>
      <c r="Q155" s="182" t="s">
        <v>101</v>
      </c>
      <c r="R155" s="173">
        <v>12.7</v>
      </c>
      <c r="S155" s="173">
        <v>8.65</v>
      </c>
      <c r="T155" s="173">
        <f>E67</f>
        <v>4.3</v>
      </c>
      <c r="U155" s="173">
        <f>F34</f>
        <v>-0.30000000000000004</v>
      </c>
      <c r="V155" s="173">
        <f>H72+1</f>
        <v>2.1</v>
      </c>
      <c r="W155" s="173">
        <f>I63</f>
        <v>-0.6</v>
      </c>
      <c r="X155" s="173">
        <f>K84</f>
        <v>2.2000000000000002</v>
      </c>
      <c r="Y155" s="173">
        <f>L75</f>
        <v>-0.6</v>
      </c>
      <c r="Z155" s="173">
        <f>N62+0.5</f>
        <v>1.7500000000000002</v>
      </c>
      <c r="AA155" s="173">
        <f>O62</f>
        <v>0</v>
      </c>
      <c r="AB155" s="173">
        <f>Q70</f>
        <v>1.55</v>
      </c>
      <c r="AC155" s="173">
        <f>R47</f>
        <v>-0.2</v>
      </c>
    </row>
    <row r="156" spans="2:29" x14ac:dyDescent="0.25">
      <c r="B156" s="173">
        <v>0.09</v>
      </c>
      <c r="C156" s="173">
        <f>C153</f>
        <v>12.8</v>
      </c>
      <c r="D156" s="173">
        <f>D155</f>
        <v>4.25</v>
      </c>
      <c r="E156" s="173">
        <v>0.9</v>
      </c>
      <c r="F156" s="173">
        <f>F155</f>
        <v>6.1</v>
      </c>
      <c r="G156" s="173">
        <f>G153</f>
        <v>8.9</v>
      </c>
    </row>
    <row r="157" spans="2:29" x14ac:dyDescent="0.25">
      <c r="I157" s="173">
        <v>0.4</v>
      </c>
      <c r="J157" s="173">
        <f>J155</f>
        <v>0</v>
      </c>
      <c r="K157" s="173">
        <v>7.15</v>
      </c>
      <c r="L157" s="173">
        <v>4</v>
      </c>
      <c r="M157" s="173">
        <v>10.25</v>
      </c>
      <c r="N157" s="173">
        <f>N155</f>
        <v>0</v>
      </c>
    </row>
    <row r="158" spans="2:29" x14ac:dyDescent="0.25">
      <c r="C158" s="173">
        <f>C155</f>
        <v>0</v>
      </c>
      <c r="D158" s="173">
        <v>4.45</v>
      </c>
      <c r="F158" s="173">
        <v>6.4</v>
      </c>
      <c r="G158" s="173">
        <f>G155</f>
        <v>0</v>
      </c>
    </row>
    <row r="159" spans="2:29" x14ac:dyDescent="0.25">
      <c r="B159" s="173">
        <v>0.1</v>
      </c>
      <c r="C159" s="173">
        <f>C156</f>
        <v>12.8</v>
      </c>
      <c r="D159" s="173">
        <f>D158</f>
        <v>4.45</v>
      </c>
      <c r="E159" s="173">
        <v>1</v>
      </c>
      <c r="F159" s="173">
        <f>F158</f>
        <v>6.4</v>
      </c>
      <c r="G159" s="173">
        <f>G156</f>
        <v>8.9</v>
      </c>
      <c r="I159" s="173">
        <v>0.5</v>
      </c>
      <c r="J159" s="173">
        <f>J157</f>
        <v>0</v>
      </c>
      <c r="K159" s="173">
        <v>7.55</v>
      </c>
      <c r="L159" s="173">
        <v>5</v>
      </c>
      <c r="M159" s="173">
        <v>10.85</v>
      </c>
      <c r="N159" s="173">
        <f>N157</f>
        <v>0</v>
      </c>
    </row>
    <row r="161" spans="2:15" x14ac:dyDescent="0.25">
      <c r="C161" s="173">
        <f>C158</f>
        <v>0</v>
      </c>
      <c r="D161" s="173">
        <v>5.25</v>
      </c>
      <c r="F161" s="173">
        <v>7.55</v>
      </c>
      <c r="G161" s="173">
        <f>G158</f>
        <v>0</v>
      </c>
      <c r="I161" s="173">
        <v>0.6</v>
      </c>
      <c r="J161" s="173">
        <f>J159</f>
        <v>0</v>
      </c>
      <c r="K161" s="173">
        <v>7.95</v>
      </c>
      <c r="L161" s="173">
        <v>6</v>
      </c>
      <c r="M161" s="173">
        <v>11.4</v>
      </c>
      <c r="N161" s="173">
        <f>N159</f>
        <v>0</v>
      </c>
    </row>
    <row r="162" spans="2:15" x14ac:dyDescent="0.25">
      <c r="B162" s="173">
        <v>0.15</v>
      </c>
      <c r="C162" s="173">
        <f>C159</f>
        <v>12.8</v>
      </c>
      <c r="D162" s="173">
        <f>D161</f>
        <v>5.25</v>
      </c>
      <c r="E162" s="173">
        <v>1.5</v>
      </c>
      <c r="F162" s="173">
        <f>F161</f>
        <v>7.55</v>
      </c>
      <c r="G162" s="173">
        <f>G159</f>
        <v>8.9</v>
      </c>
    </row>
    <row r="163" spans="2:15" x14ac:dyDescent="0.25">
      <c r="I163" s="173">
        <v>0.7</v>
      </c>
      <c r="J163" s="173">
        <f>J161</f>
        <v>0</v>
      </c>
      <c r="K163" s="173">
        <v>8.1999999999999993</v>
      </c>
      <c r="L163" s="173">
        <v>7</v>
      </c>
      <c r="M163" s="173">
        <v>11.85</v>
      </c>
      <c r="N163" s="173">
        <f>N161</f>
        <v>0</v>
      </c>
    </row>
    <row r="164" spans="2:15" x14ac:dyDescent="0.25">
      <c r="C164" s="173">
        <f>C158</f>
        <v>0</v>
      </c>
      <c r="D164" s="173">
        <v>5.8</v>
      </c>
      <c r="F164" s="173">
        <v>8.3000000000000007</v>
      </c>
      <c r="G164" s="173">
        <f>G161</f>
        <v>0</v>
      </c>
    </row>
    <row r="165" spans="2:15" x14ac:dyDescent="0.25">
      <c r="B165" s="173">
        <v>0.2</v>
      </c>
      <c r="C165" s="173">
        <f>C159</f>
        <v>12.8</v>
      </c>
      <c r="D165" s="173">
        <f>D164</f>
        <v>5.8</v>
      </c>
      <c r="E165" s="173">
        <v>2</v>
      </c>
      <c r="F165" s="173">
        <f>F164</f>
        <v>8.3000000000000007</v>
      </c>
      <c r="G165" s="173">
        <f>G162</f>
        <v>8.9</v>
      </c>
      <c r="I165" s="173">
        <v>0.8</v>
      </c>
      <c r="J165" s="173">
        <f>J163</f>
        <v>0</v>
      </c>
      <c r="K165" s="173">
        <v>8.4499999999999993</v>
      </c>
      <c r="L165" s="173">
        <v>8</v>
      </c>
      <c r="M165" s="173">
        <v>12.2</v>
      </c>
      <c r="N165" s="173">
        <f>N163</f>
        <v>0</v>
      </c>
    </row>
    <row r="167" spans="2:15" x14ac:dyDescent="0.25">
      <c r="C167" s="173">
        <f>C164</f>
        <v>0</v>
      </c>
      <c r="D167" s="173">
        <v>6.25</v>
      </c>
      <c r="F167" s="173">
        <v>8.9499999999999993</v>
      </c>
      <c r="G167" s="173">
        <f>G164</f>
        <v>0</v>
      </c>
      <c r="I167" s="173">
        <v>0.9</v>
      </c>
      <c r="J167" s="173">
        <f>J165</f>
        <v>0</v>
      </c>
      <c r="K167" s="173">
        <v>8.65</v>
      </c>
      <c r="L167" s="173">
        <v>9</v>
      </c>
      <c r="M167" s="173">
        <v>12.5</v>
      </c>
      <c r="N167" s="173">
        <f>N165</f>
        <v>0</v>
      </c>
    </row>
    <row r="168" spans="2:15" x14ac:dyDescent="0.25">
      <c r="B168" s="173">
        <v>0.25</v>
      </c>
      <c r="C168" s="173">
        <f>C165</f>
        <v>12.8</v>
      </c>
      <c r="D168" s="173">
        <f>D167</f>
        <v>6.25</v>
      </c>
      <c r="E168" s="173">
        <v>2.5</v>
      </c>
      <c r="F168" s="173">
        <f>F167</f>
        <v>8.9499999999999993</v>
      </c>
      <c r="G168" s="173">
        <f>G165</f>
        <v>8.9</v>
      </c>
      <c r="O168" s="191"/>
    </row>
    <row r="169" spans="2:15" x14ac:dyDescent="0.25">
      <c r="I169" s="173">
        <v>1</v>
      </c>
      <c r="J169" s="173">
        <f>J167</f>
        <v>0</v>
      </c>
      <c r="K169" s="173">
        <v>8.9</v>
      </c>
      <c r="L169" s="173">
        <v>10</v>
      </c>
      <c r="M169" s="173">
        <v>12.8</v>
      </c>
      <c r="N169" s="173">
        <f>N167</f>
        <v>0</v>
      </c>
    </row>
    <row r="170" spans="2:15" x14ac:dyDescent="0.25">
      <c r="C170" s="173">
        <f>C167</f>
        <v>0</v>
      </c>
      <c r="D170" s="173">
        <v>6.65</v>
      </c>
      <c r="F170" s="173">
        <v>9.4499999999999993</v>
      </c>
      <c r="G170" s="173">
        <f>G167</f>
        <v>0</v>
      </c>
    </row>
    <row r="171" spans="2:15" x14ac:dyDescent="0.25">
      <c r="B171" s="173">
        <v>0.3</v>
      </c>
      <c r="C171" s="173">
        <f>C168</f>
        <v>12.8</v>
      </c>
      <c r="D171" s="173">
        <f>D170</f>
        <v>6.65</v>
      </c>
      <c r="E171" s="173">
        <v>3</v>
      </c>
      <c r="F171" s="173">
        <f>F170</f>
        <v>9.4499999999999993</v>
      </c>
      <c r="G171" s="173">
        <f>G168</f>
        <v>8.9</v>
      </c>
      <c r="I171" s="182">
        <f>IF(J172=0,"",ROUND('ZAPATA EXCENTRICA'!AJ2,3))</f>
        <v>0.15</v>
      </c>
      <c r="J171" s="173">
        <f>IF($A$1="",0,C125)</f>
        <v>0</v>
      </c>
      <c r="K171" s="173">
        <f>IF($A$1="",0,J176)</f>
        <v>5.25</v>
      </c>
      <c r="L171" s="182">
        <f>IF(N172=0,"",ROUND('ZAPATA EXCENTRICA'!AM2,3))</f>
        <v>0.8</v>
      </c>
      <c r="M171" s="173">
        <f>IF($A$1="",0,L176)</f>
        <v>5.75</v>
      </c>
      <c r="N171" s="173">
        <f>IF($A$1="",0,G125)</f>
        <v>0</v>
      </c>
    </row>
    <row r="172" spans="2:15" x14ac:dyDescent="0.25">
      <c r="J172" s="173">
        <f>IF($A$1="",0,C126)</f>
        <v>12.8</v>
      </c>
      <c r="K172" s="173">
        <f>IF($A$1="",0,K171)</f>
        <v>5.25</v>
      </c>
      <c r="M172" s="173">
        <f>IF($A$1="",0,M171)</f>
        <v>5.75</v>
      </c>
      <c r="N172" s="173">
        <f>IF($A$1="",0,G126)</f>
        <v>8.9</v>
      </c>
    </row>
    <row r="173" spans="2:15" x14ac:dyDescent="0.25">
      <c r="C173" s="173">
        <f>C170</f>
        <v>0</v>
      </c>
      <c r="D173" s="173">
        <v>7.15</v>
      </c>
      <c r="F173" s="173">
        <v>10.25</v>
      </c>
      <c r="G173" s="173">
        <f>G170</f>
        <v>0</v>
      </c>
    </row>
    <row r="174" spans="2:15" x14ac:dyDescent="0.25">
      <c r="B174" s="173">
        <v>0.4</v>
      </c>
      <c r="C174" s="173">
        <f>C171</f>
        <v>12.8</v>
      </c>
      <c r="D174" s="173">
        <f>D173</f>
        <v>7.15</v>
      </c>
      <c r="E174" s="173">
        <v>4</v>
      </c>
      <c r="F174" s="173">
        <f>F173</f>
        <v>10.25</v>
      </c>
      <c r="G174" s="173">
        <f>G171</f>
        <v>8.9</v>
      </c>
      <c r="I174" s="173">
        <f>IF(J172=0,"",ROUND('ZAPATA EXCENTRICA'!AJ2,3))</f>
        <v>0.15</v>
      </c>
      <c r="J174" s="173">
        <f>IF(N175=0,"",ROUND('ZAPATA EXCENTRICA'!AM2,3))</f>
        <v>0.8</v>
      </c>
      <c r="K174" s="173">
        <f>IF(N175=0,"",ROUND('ZAPATA EXCENTRICA'!AM4,3))</f>
        <v>1.75</v>
      </c>
      <c r="L174" s="182">
        <f>IF(N175=0,"",ROUND('ZAPATA EXCENTRICA'!AM4,3))</f>
        <v>1.75</v>
      </c>
      <c r="M174" s="173">
        <f>IF('ZAPATA EXCENTRICA'!AL3="no",'base de datos'!N176,'base de datos'!L176)</f>
        <v>7.9250000000000007</v>
      </c>
      <c r="N174" s="173">
        <f>IF($A$1="",0,G125)</f>
        <v>0</v>
      </c>
    </row>
    <row r="175" spans="2:15" x14ac:dyDescent="0.25">
      <c r="M175" s="173">
        <f>IF($A$1="",0,M174)</f>
        <v>7.9250000000000007</v>
      </c>
      <c r="N175" s="173">
        <f>IF($A$1="",0,G126)</f>
        <v>8.9</v>
      </c>
    </row>
    <row r="176" spans="2:15" x14ac:dyDescent="0.25">
      <c r="C176" s="173">
        <f>C173</f>
        <v>0</v>
      </c>
      <c r="D176" s="173">
        <v>7.55</v>
      </c>
      <c r="F176" s="173">
        <v>10.85</v>
      </c>
      <c r="G176" s="173">
        <f>G173</f>
        <v>0</v>
      </c>
      <c r="I176" s="173" t="s">
        <v>97</v>
      </c>
      <c r="J176" s="173">
        <f>IFERROR(VLOOKUP(I178,H181:I203,2,FALSE),J180)</f>
        <v>5.25</v>
      </c>
      <c r="K176" s="173" t="s">
        <v>97</v>
      </c>
      <c r="L176" s="173">
        <f>IFERROR(VLOOKUP(K178,L181:M203,2,FALSE),L180)</f>
        <v>5.75</v>
      </c>
      <c r="M176" s="173" t="s">
        <v>97</v>
      </c>
      <c r="N176" s="173">
        <f>IFERROR(VLOOKUP(M178,L181:M203,2,FALSE),N180)</f>
        <v>7.9250000000000007</v>
      </c>
    </row>
    <row r="177" spans="2:17" x14ac:dyDescent="0.25">
      <c r="B177" s="173">
        <v>0.5</v>
      </c>
      <c r="C177" s="173">
        <f>C174</f>
        <v>12.8</v>
      </c>
      <c r="D177" s="173">
        <f>D176</f>
        <v>7.55</v>
      </c>
      <c r="E177" s="173">
        <v>5</v>
      </c>
      <c r="F177" s="173">
        <f>F176</f>
        <v>10.85</v>
      </c>
      <c r="G177" s="173">
        <f>G174</f>
        <v>8.9</v>
      </c>
      <c r="I177" s="173">
        <f>MAX(J181:J203)</f>
        <v>0.1</v>
      </c>
      <c r="J177" s="173">
        <f>VLOOKUP(I177,H181:I203,2,FALSE)</f>
        <v>4.45</v>
      </c>
      <c r="K177" s="173">
        <f>MAX(N181:N203)</f>
        <v>0.7</v>
      </c>
      <c r="L177" s="173">
        <f>VLOOKUP(K177,L181:M203,2,FALSE)</f>
        <v>5.4</v>
      </c>
      <c r="M177" s="173">
        <f>MAX(P181:P203)</f>
        <v>1.5</v>
      </c>
      <c r="N177" s="173">
        <f>VLOOKUP(M177,L181:M203,2,FALSE)</f>
        <v>7.55</v>
      </c>
    </row>
    <row r="178" spans="2:17" x14ac:dyDescent="0.25">
      <c r="I178" s="173">
        <f>I174</f>
        <v>0.15</v>
      </c>
      <c r="J178" s="173" t="s">
        <v>95</v>
      </c>
      <c r="K178" s="173">
        <f>J174</f>
        <v>0.8</v>
      </c>
      <c r="L178" s="173" t="s">
        <v>95</v>
      </c>
      <c r="M178" s="173">
        <f>K174</f>
        <v>1.75</v>
      </c>
      <c r="N178" s="173" t="s">
        <v>95</v>
      </c>
    </row>
    <row r="179" spans="2:17" x14ac:dyDescent="0.25">
      <c r="C179" s="173">
        <f>C176</f>
        <v>0</v>
      </c>
      <c r="D179" s="173">
        <v>7.95</v>
      </c>
      <c r="F179" s="173">
        <v>11.4</v>
      </c>
      <c r="G179" s="173">
        <f>G176</f>
        <v>0</v>
      </c>
      <c r="I179" s="173">
        <f>MIN(K181:K203)</f>
        <v>0.2</v>
      </c>
      <c r="J179" s="173">
        <f>VLOOKUP(I179,H181:I203,2,FALSE)</f>
        <v>5.8</v>
      </c>
      <c r="K179" s="173">
        <f>MIN(O181:O203)</f>
        <v>0.9</v>
      </c>
      <c r="L179" s="173">
        <f>VLOOKUP(K179,L181:M203,2,FALSE)</f>
        <v>6.1</v>
      </c>
      <c r="M179" s="173">
        <f>MIN(Q181:Q203)</f>
        <v>2</v>
      </c>
      <c r="N179" s="173">
        <f>VLOOKUP(M179,L181:M203,2,FALSE)</f>
        <v>8.3000000000000007</v>
      </c>
    </row>
    <row r="180" spans="2:17" x14ac:dyDescent="0.25">
      <c r="B180" s="173">
        <v>0.6</v>
      </c>
      <c r="C180" s="173">
        <f>C177</f>
        <v>12.8</v>
      </c>
      <c r="D180" s="173">
        <f>D179</f>
        <v>7.95</v>
      </c>
      <c r="E180" s="173">
        <v>6</v>
      </c>
      <c r="F180" s="173">
        <f>F179</f>
        <v>11.4</v>
      </c>
      <c r="G180" s="173">
        <f>G177</f>
        <v>8.9</v>
      </c>
      <c r="I180" s="173" t="s">
        <v>96</v>
      </c>
      <c r="J180" s="173">
        <f>((I178-I179)*J177+(I177-I178)*J179)/(I177-I179)</f>
        <v>5.1249999999999991</v>
      </c>
      <c r="K180" s="173" t="s">
        <v>96</v>
      </c>
      <c r="L180" s="173">
        <f>((K178-K179)*L177+(K177-K178)*L179)/(K177-K179)</f>
        <v>5.75</v>
      </c>
      <c r="M180" s="173" t="s">
        <v>96</v>
      </c>
      <c r="N180" s="173">
        <f>((M178-M179)*N177+(M177-M178)*N179)/(M177-M179)</f>
        <v>7.9250000000000007</v>
      </c>
    </row>
    <row r="181" spans="2:17" x14ac:dyDescent="0.25">
      <c r="H181" s="173">
        <v>0.01</v>
      </c>
      <c r="I181" s="173">
        <v>0</v>
      </c>
      <c r="J181" s="173">
        <f t="shared" ref="J181:J203" si="6">IF($I$174&gt;H181,H181)</f>
        <v>0.01</v>
      </c>
      <c r="K181" s="173" t="b">
        <f t="shared" ref="K181:K203" si="7">IF($I$174&lt;H181,H181)</f>
        <v>0</v>
      </c>
      <c r="L181" s="173">
        <v>0.1</v>
      </c>
      <c r="M181" s="173">
        <v>0</v>
      </c>
      <c r="N181" s="173">
        <f>IF($J$174&gt;L181,L181)</f>
        <v>0.1</v>
      </c>
      <c r="O181" s="173" t="b">
        <f>IF($J$174&lt;L181,L181)</f>
        <v>0</v>
      </c>
      <c r="P181" s="173">
        <f>IF($K$174&gt;L181,L181)</f>
        <v>0.1</v>
      </c>
      <c r="Q181" s="173" t="b">
        <f>IF($K$174&lt;L181,L181)</f>
        <v>0</v>
      </c>
    </row>
    <row r="182" spans="2:17" x14ac:dyDescent="0.25">
      <c r="C182" s="173">
        <f>C179</f>
        <v>0</v>
      </c>
      <c r="D182" s="173">
        <v>8.1999999999999993</v>
      </c>
      <c r="F182" s="173">
        <v>11.85</v>
      </c>
      <c r="G182" s="173">
        <f>G179</f>
        <v>0</v>
      </c>
      <c r="H182" s="173">
        <v>1.4999999999999999E-2</v>
      </c>
      <c r="I182" s="173">
        <v>0.8</v>
      </c>
      <c r="J182" s="173">
        <f t="shared" si="6"/>
        <v>1.4999999999999999E-2</v>
      </c>
      <c r="K182" s="173" t="b">
        <f t="shared" si="7"/>
        <v>0</v>
      </c>
      <c r="L182" s="173">
        <v>0.15</v>
      </c>
      <c r="M182" s="173">
        <v>1.1000000000000001</v>
      </c>
      <c r="N182" s="173">
        <f t="shared" ref="N182:N203" si="8">IF($J$174&gt;L182,L182)</f>
        <v>0.15</v>
      </c>
      <c r="O182" s="173" t="b">
        <f t="shared" ref="O182:O203" si="9">IF($J$174&lt;L182,L182)</f>
        <v>0</v>
      </c>
      <c r="P182" s="173">
        <f t="shared" ref="P182:P203" si="10">IF($K$174&gt;L182,L182)</f>
        <v>0.15</v>
      </c>
      <c r="Q182" s="173" t="b">
        <f t="shared" ref="Q182:Q203" si="11">IF($K$174&lt;L182,L182)</f>
        <v>0</v>
      </c>
    </row>
    <row r="183" spans="2:17" x14ac:dyDescent="0.25">
      <c r="B183" s="173">
        <v>0.7</v>
      </c>
      <c r="C183" s="173">
        <f>C180</f>
        <v>12.8</v>
      </c>
      <c r="D183" s="173">
        <f>D182</f>
        <v>8.1999999999999993</v>
      </c>
      <c r="E183" s="173">
        <v>7</v>
      </c>
      <c r="F183" s="173">
        <f>F182</f>
        <v>11.85</v>
      </c>
      <c r="G183" s="173">
        <f>G180</f>
        <v>8.9</v>
      </c>
      <c r="H183" s="173">
        <v>0.02</v>
      </c>
      <c r="I183" s="173">
        <v>1.35</v>
      </c>
      <c r="J183" s="173">
        <f t="shared" si="6"/>
        <v>0.02</v>
      </c>
      <c r="K183" s="173" t="b">
        <f t="shared" si="7"/>
        <v>0</v>
      </c>
      <c r="L183" s="173">
        <v>0.2</v>
      </c>
      <c r="M183" s="173">
        <v>1.9</v>
      </c>
      <c r="N183" s="173">
        <f t="shared" si="8"/>
        <v>0.2</v>
      </c>
      <c r="O183" s="173" t="b">
        <f t="shared" si="9"/>
        <v>0</v>
      </c>
      <c r="P183" s="173">
        <f t="shared" si="10"/>
        <v>0.2</v>
      </c>
      <c r="Q183" s="173" t="b">
        <f t="shared" si="11"/>
        <v>0</v>
      </c>
    </row>
    <row r="184" spans="2:17" x14ac:dyDescent="0.25">
      <c r="H184" s="173">
        <v>2.5000000000000001E-2</v>
      </c>
      <c r="I184" s="173">
        <v>1.75</v>
      </c>
      <c r="J184" s="173">
        <f t="shared" si="6"/>
        <v>2.5000000000000001E-2</v>
      </c>
      <c r="K184" s="173" t="b">
        <f t="shared" si="7"/>
        <v>0</v>
      </c>
      <c r="L184" s="173">
        <v>0.25</v>
      </c>
      <c r="M184" s="173">
        <v>2.5</v>
      </c>
      <c r="N184" s="173">
        <f t="shared" si="8"/>
        <v>0.25</v>
      </c>
      <c r="O184" s="173" t="b">
        <f t="shared" si="9"/>
        <v>0</v>
      </c>
      <c r="P184" s="173">
        <f t="shared" si="10"/>
        <v>0.25</v>
      </c>
      <c r="Q184" s="173" t="b">
        <f t="shared" si="11"/>
        <v>0</v>
      </c>
    </row>
    <row r="185" spans="2:17" x14ac:dyDescent="0.25">
      <c r="C185" s="173">
        <f>C182</f>
        <v>0</v>
      </c>
      <c r="D185" s="173">
        <v>8.4499999999999993</v>
      </c>
      <c r="F185" s="173">
        <v>12.2</v>
      </c>
      <c r="G185" s="173">
        <f>G182</f>
        <v>0</v>
      </c>
      <c r="H185" s="173">
        <v>0.03</v>
      </c>
      <c r="I185" s="173">
        <v>2.1</v>
      </c>
      <c r="J185" s="173">
        <f t="shared" si="6"/>
        <v>0.03</v>
      </c>
      <c r="K185" s="173" t="b">
        <f t="shared" si="7"/>
        <v>0</v>
      </c>
      <c r="L185" s="173">
        <v>0.3</v>
      </c>
      <c r="M185" s="173">
        <v>3.05</v>
      </c>
      <c r="N185" s="173">
        <f t="shared" si="8"/>
        <v>0.3</v>
      </c>
      <c r="O185" s="173" t="b">
        <f t="shared" si="9"/>
        <v>0</v>
      </c>
      <c r="P185" s="173">
        <f t="shared" si="10"/>
        <v>0.3</v>
      </c>
      <c r="Q185" s="173" t="b">
        <f t="shared" si="11"/>
        <v>0</v>
      </c>
    </row>
    <row r="186" spans="2:17" x14ac:dyDescent="0.25">
      <c r="B186" s="173">
        <v>0.8</v>
      </c>
      <c r="C186" s="173">
        <f>C183</f>
        <v>12.8</v>
      </c>
      <c r="D186" s="173">
        <f>D185</f>
        <v>8.4499999999999993</v>
      </c>
      <c r="E186" s="173">
        <v>8</v>
      </c>
      <c r="F186" s="173">
        <f>F185</f>
        <v>12.2</v>
      </c>
      <c r="G186" s="173">
        <f>G183</f>
        <v>8.9</v>
      </c>
      <c r="H186" s="173">
        <v>0.04</v>
      </c>
      <c r="I186" s="173">
        <v>2.65</v>
      </c>
      <c r="J186" s="173">
        <f t="shared" si="6"/>
        <v>0.04</v>
      </c>
      <c r="K186" s="173" t="b">
        <f t="shared" si="7"/>
        <v>0</v>
      </c>
      <c r="L186" s="173">
        <v>0.4</v>
      </c>
      <c r="M186" s="173">
        <v>3.8</v>
      </c>
      <c r="N186" s="173">
        <f t="shared" si="8"/>
        <v>0.4</v>
      </c>
      <c r="O186" s="173" t="b">
        <f t="shared" si="9"/>
        <v>0</v>
      </c>
      <c r="P186" s="173">
        <f t="shared" si="10"/>
        <v>0.4</v>
      </c>
      <c r="Q186" s="173" t="b">
        <f t="shared" si="11"/>
        <v>0</v>
      </c>
    </row>
    <row r="187" spans="2:17" x14ac:dyDescent="0.25">
      <c r="H187" s="173">
        <v>0.05</v>
      </c>
      <c r="I187" s="173">
        <v>3.1</v>
      </c>
      <c r="J187" s="173">
        <f t="shared" si="6"/>
        <v>0.05</v>
      </c>
      <c r="K187" s="173" t="b">
        <f t="shared" si="7"/>
        <v>0</v>
      </c>
      <c r="L187" s="173">
        <v>0.5</v>
      </c>
      <c r="M187" s="173">
        <v>4.45</v>
      </c>
      <c r="N187" s="173">
        <f t="shared" si="8"/>
        <v>0.5</v>
      </c>
      <c r="O187" s="173" t="b">
        <f t="shared" si="9"/>
        <v>0</v>
      </c>
      <c r="P187" s="173">
        <f t="shared" si="10"/>
        <v>0.5</v>
      </c>
      <c r="Q187" s="173" t="b">
        <f t="shared" si="11"/>
        <v>0</v>
      </c>
    </row>
    <row r="188" spans="2:17" x14ac:dyDescent="0.25">
      <c r="C188" s="173">
        <f>C185</f>
        <v>0</v>
      </c>
      <c r="D188" s="173">
        <v>8.65</v>
      </c>
      <c r="F188" s="173">
        <v>12.5</v>
      </c>
      <c r="G188" s="173">
        <f>G185</f>
        <v>0</v>
      </c>
      <c r="H188" s="173">
        <v>0.06</v>
      </c>
      <c r="I188" s="173">
        <v>3.45</v>
      </c>
      <c r="J188" s="173">
        <f t="shared" si="6"/>
        <v>0.06</v>
      </c>
      <c r="K188" s="173" t="b">
        <f t="shared" si="7"/>
        <v>0</v>
      </c>
      <c r="L188" s="173">
        <v>0.6</v>
      </c>
      <c r="M188" s="173">
        <v>4.95</v>
      </c>
      <c r="N188" s="173">
        <f t="shared" si="8"/>
        <v>0.6</v>
      </c>
      <c r="O188" s="173" t="b">
        <f t="shared" si="9"/>
        <v>0</v>
      </c>
      <c r="P188" s="173">
        <f t="shared" si="10"/>
        <v>0.6</v>
      </c>
      <c r="Q188" s="173" t="b">
        <f t="shared" si="11"/>
        <v>0</v>
      </c>
    </row>
    <row r="189" spans="2:17" x14ac:dyDescent="0.25">
      <c r="B189" s="173">
        <v>0.9</v>
      </c>
      <c r="C189" s="173">
        <f>C186</f>
        <v>12.8</v>
      </c>
      <c r="D189" s="173">
        <f>D188</f>
        <v>8.65</v>
      </c>
      <c r="E189" s="173">
        <v>9</v>
      </c>
      <c r="F189" s="173">
        <f>F188</f>
        <v>12.5</v>
      </c>
      <c r="G189" s="173">
        <f>G186</f>
        <v>8.9</v>
      </c>
      <c r="H189" s="173">
        <v>7.0000000000000007E-2</v>
      </c>
      <c r="I189" s="173">
        <v>3.75</v>
      </c>
      <c r="J189" s="173">
        <f t="shared" si="6"/>
        <v>7.0000000000000007E-2</v>
      </c>
      <c r="K189" s="173" t="b">
        <f t="shared" si="7"/>
        <v>0</v>
      </c>
      <c r="L189" s="173">
        <v>0.7</v>
      </c>
      <c r="M189" s="173">
        <v>5.4</v>
      </c>
      <c r="N189" s="173">
        <f t="shared" si="8"/>
        <v>0.7</v>
      </c>
      <c r="O189" s="173" t="b">
        <f t="shared" si="9"/>
        <v>0</v>
      </c>
      <c r="P189" s="173">
        <f t="shared" si="10"/>
        <v>0.7</v>
      </c>
      <c r="Q189" s="173" t="b">
        <f t="shared" si="11"/>
        <v>0</v>
      </c>
    </row>
    <row r="190" spans="2:17" x14ac:dyDescent="0.25">
      <c r="H190" s="173">
        <v>0.08</v>
      </c>
      <c r="I190" s="173">
        <v>4</v>
      </c>
      <c r="J190" s="173">
        <f t="shared" si="6"/>
        <v>0.08</v>
      </c>
      <c r="K190" s="173" t="b">
        <f t="shared" si="7"/>
        <v>0</v>
      </c>
      <c r="L190" s="173">
        <v>0.8</v>
      </c>
      <c r="M190" s="173">
        <v>5.75</v>
      </c>
      <c r="N190" s="173" t="b">
        <f t="shared" si="8"/>
        <v>0</v>
      </c>
      <c r="O190" s="173" t="b">
        <f t="shared" si="9"/>
        <v>0</v>
      </c>
      <c r="P190" s="173">
        <f t="shared" si="10"/>
        <v>0.8</v>
      </c>
      <c r="Q190" s="173" t="b">
        <f t="shared" si="11"/>
        <v>0</v>
      </c>
    </row>
    <row r="191" spans="2:17" x14ac:dyDescent="0.25">
      <c r="C191" s="173">
        <f>C188</f>
        <v>0</v>
      </c>
      <c r="D191" s="173">
        <v>8.9</v>
      </c>
      <c r="F191" s="173">
        <v>12.8</v>
      </c>
      <c r="G191" s="173">
        <f>G188</f>
        <v>0</v>
      </c>
      <c r="H191" s="173">
        <v>0.09</v>
      </c>
      <c r="I191" s="173">
        <v>4.25</v>
      </c>
      <c r="J191" s="173">
        <f t="shared" si="6"/>
        <v>0.09</v>
      </c>
      <c r="K191" s="173" t="b">
        <f t="shared" si="7"/>
        <v>0</v>
      </c>
      <c r="L191" s="173">
        <v>0.9</v>
      </c>
      <c r="M191" s="173">
        <v>6.1</v>
      </c>
      <c r="N191" s="173" t="b">
        <f t="shared" si="8"/>
        <v>0</v>
      </c>
      <c r="O191" s="173">
        <f t="shared" si="9"/>
        <v>0.9</v>
      </c>
      <c r="P191" s="173">
        <f t="shared" si="10"/>
        <v>0.9</v>
      </c>
      <c r="Q191" s="173" t="b">
        <f t="shared" si="11"/>
        <v>0</v>
      </c>
    </row>
    <row r="192" spans="2:17" x14ac:dyDescent="0.25">
      <c r="B192" s="173">
        <v>1</v>
      </c>
      <c r="C192" s="173">
        <f>C189</f>
        <v>12.8</v>
      </c>
      <c r="D192" s="173">
        <f>D191</f>
        <v>8.9</v>
      </c>
      <c r="E192" s="173">
        <v>10</v>
      </c>
      <c r="F192" s="173">
        <f>F191</f>
        <v>12.8</v>
      </c>
      <c r="G192" s="173">
        <f>G189</f>
        <v>8.9</v>
      </c>
      <c r="H192" s="173">
        <v>0.1</v>
      </c>
      <c r="I192" s="173">
        <v>4.45</v>
      </c>
      <c r="J192" s="173">
        <f t="shared" si="6"/>
        <v>0.1</v>
      </c>
      <c r="K192" s="173" t="b">
        <f t="shared" si="7"/>
        <v>0</v>
      </c>
      <c r="L192" s="173">
        <v>1</v>
      </c>
      <c r="M192" s="173">
        <v>6.4</v>
      </c>
      <c r="N192" s="173" t="b">
        <f t="shared" si="8"/>
        <v>0</v>
      </c>
      <c r="O192" s="173">
        <f t="shared" si="9"/>
        <v>1</v>
      </c>
      <c r="P192" s="173">
        <f t="shared" si="10"/>
        <v>1</v>
      </c>
      <c r="Q192" s="173" t="b">
        <f t="shared" si="11"/>
        <v>0</v>
      </c>
    </row>
    <row r="193" spans="5:17" x14ac:dyDescent="0.25">
      <c r="H193" s="173">
        <v>0.15</v>
      </c>
      <c r="I193" s="173">
        <v>5.25</v>
      </c>
      <c r="J193" s="173" t="b">
        <f t="shared" si="6"/>
        <v>0</v>
      </c>
      <c r="K193" s="173" t="b">
        <f t="shared" si="7"/>
        <v>0</v>
      </c>
      <c r="L193" s="173">
        <v>1.5</v>
      </c>
      <c r="M193" s="173">
        <v>7.55</v>
      </c>
      <c r="N193" s="173" t="b">
        <f t="shared" si="8"/>
        <v>0</v>
      </c>
      <c r="O193" s="173">
        <f t="shared" si="9"/>
        <v>1.5</v>
      </c>
      <c r="P193" s="173">
        <f t="shared" si="10"/>
        <v>1.5</v>
      </c>
      <c r="Q193" s="173" t="b">
        <f t="shared" si="11"/>
        <v>0</v>
      </c>
    </row>
    <row r="194" spans="5:17" x14ac:dyDescent="0.25">
      <c r="E194" s="191" t="s">
        <v>94</v>
      </c>
      <c r="H194" s="173">
        <v>0.2</v>
      </c>
      <c r="I194" s="173">
        <v>5.8</v>
      </c>
      <c r="J194" s="173" t="b">
        <f t="shared" si="6"/>
        <v>0</v>
      </c>
      <c r="K194" s="173">
        <f t="shared" si="7"/>
        <v>0.2</v>
      </c>
      <c r="L194" s="173">
        <v>2</v>
      </c>
      <c r="M194" s="173">
        <v>8.3000000000000007</v>
      </c>
      <c r="N194" s="173" t="b">
        <f t="shared" si="8"/>
        <v>0</v>
      </c>
      <c r="O194" s="173">
        <f t="shared" si="9"/>
        <v>2</v>
      </c>
      <c r="P194" s="173" t="b">
        <f t="shared" si="10"/>
        <v>0</v>
      </c>
      <c r="Q194" s="173">
        <f t="shared" si="11"/>
        <v>2</v>
      </c>
    </row>
    <row r="195" spans="5:17" x14ac:dyDescent="0.25">
      <c r="H195" s="173">
        <v>0.25</v>
      </c>
      <c r="I195" s="173">
        <v>6.25</v>
      </c>
      <c r="J195" s="173" t="b">
        <f t="shared" si="6"/>
        <v>0</v>
      </c>
      <c r="K195" s="173">
        <f t="shared" si="7"/>
        <v>0.25</v>
      </c>
      <c r="L195" s="173">
        <v>2.5</v>
      </c>
      <c r="M195" s="173">
        <v>8.9499999999999993</v>
      </c>
      <c r="N195" s="173" t="b">
        <f t="shared" si="8"/>
        <v>0</v>
      </c>
      <c r="O195" s="173">
        <f t="shared" si="9"/>
        <v>2.5</v>
      </c>
      <c r="P195" s="173" t="b">
        <f t="shared" si="10"/>
        <v>0</v>
      </c>
      <c r="Q195" s="173">
        <f t="shared" si="11"/>
        <v>2.5</v>
      </c>
    </row>
    <row r="196" spans="5:17" x14ac:dyDescent="0.25">
      <c r="H196" s="173">
        <v>0.3</v>
      </c>
      <c r="I196" s="173">
        <v>6.65</v>
      </c>
      <c r="J196" s="173" t="b">
        <f t="shared" si="6"/>
        <v>0</v>
      </c>
      <c r="K196" s="173">
        <f t="shared" si="7"/>
        <v>0.3</v>
      </c>
      <c r="L196" s="173">
        <v>3</v>
      </c>
      <c r="M196" s="173">
        <v>9.4499999999999993</v>
      </c>
      <c r="N196" s="173" t="b">
        <f t="shared" si="8"/>
        <v>0</v>
      </c>
      <c r="O196" s="173">
        <f t="shared" si="9"/>
        <v>3</v>
      </c>
      <c r="P196" s="173" t="b">
        <f t="shared" si="10"/>
        <v>0</v>
      </c>
      <c r="Q196" s="173">
        <f t="shared" si="11"/>
        <v>3</v>
      </c>
    </row>
    <row r="197" spans="5:17" x14ac:dyDescent="0.25">
      <c r="H197" s="173">
        <v>0.4</v>
      </c>
      <c r="I197" s="173">
        <v>7.15</v>
      </c>
      <c r="J197" s="173" t="b">
        <f t="shared" si="6"/>
        <v>0</v>
      </c>
      <c r="K197" s="173">
        <f t="shared" si="7"/>
        <v>0.4</v>
      </c>
      <c r="L197" s="173">
        <v>4</v>
      </c>
      <c r="M197" s="173">
        <v>10.25</v>
      </c>
      <c r="N197" s="173" t="b">
        <f t="shared" si="8"/>
        <v>0</v>
      </c>
      <c r="O197" s="173">
        <f t="shared" si="9"/>
        <v>4</v>
      </c>
      <c r="P197" s="173" t="b">
        <f t="shared" si="10"/>
        <v>0</v>
      </c>
      <c r="Q197" s="173">
        <f t="shared" si="11"/>
        <v>4</v>
      </c>
    </row>
    <row r="198" spans="5:17" x14ac:dyDescent="0.25">
      <c r="H198" s="173">
        <v>0.5</v>
      </c>
      <c r="I198" s="173">
        <v>7.55</v>
      </c>
      <c r="J198" s="173" t="b">
        <f t="shared" si="6"/>
        <v>0</v>
      </c>
      <c r="K198" s="173">
        <f t="shared" si="7"/>
        <v>0.5</v>
      </c>
      <c r="L198" s="173">
        <v>5</v>
      </c>
      <c r="M198" s="173">
        <v>10.85</v>
      </c>
      <c r="N198" s="173" t="b">
        <f t="shared" si="8"/>
        <v>0</v>
      </c>
      <c r="O198" s="173">
        <f t="shared" si="9"/>
        <v>5</v>
      </c>
      <c r="P198" s="173" t="b">
        <f t="shared" si="10"/>
        <v>0</v>
      </c>
      <c r="Q198" s="173">
        <f t="shared" si="11"/>
        <v>5</v>
      </c>
    </row>
    <row r="199" spans="5:17" x14ac:dyDescent="0.25">
      <c r="H199" s="173">
        <v>0.6</v>
      </c>
      <c r="I199" s="173">
        <v>7.95</v>
      </c>
      <c r="J199" s="173" t="b">
        <f t="shared" si="6"/>
        <v>0</v>
      </c>
      <c r="K199" s="173">
        <f t="shared" si="7"/>
        <v>0.6</v>
      </c>
      <c r="L199" s="173">
        <v>6</v>
      </c>
      <c r="M199" s="173">
        <v>11.4</v>
      </c>
      <c r="N199" s="173" t="b">
        <f t="shared" si="8"/>
        <v>0</v>
      </c>
      <c r="O199" s="173">
        <f t="shared" si="9"/>
        <v>6</v>
      </c>
      <c r="P199" s="173" t="b">
        <f t="shared" si="10"/>
        <v>0</v>
      </c>
      <c r="Q199" s="173">
        <f t="shared" si="11"/>
        <v>6</v>
      </c>
    </row>
    <row r="200" spans="5:17" x14ac:dyDescent="0.25">
      <c r="H200" s="173">
        <v>0.7</v>
      </c>
      <c r="I200" s="173">
        <v>8.1999999999999993</v>
      </c>
      <c r="J200" s="173" t="b">
        <f t="shared" si="6"/>
        <v>0</v>
      </c>
      <c r="K200" s="173">
        <f t="shared" si="7"/>
        <v>0.7</v>
      </c>
      <c r="L200" s="173">
        <v>7</v>
      </c>
      <c r="M200" s="173">
        <v>11.85</v>
      </c>
      <c r="N200" s="173" t="b">
        <f t="shared" si="8"/>
        <v>0</v>
      </c>
      <c r="O200" s="173">
        <f t="shared" si="9"/>
        <v>7</v>
      </c>
      <c r="P200" s="173" t="b">
        <f t="shared" si="10"/>
        <v>0</v>
      </c>
      <c r="Q200" s="173">
        <f t="shared" si="11"/>
        <v>7</v>
      </c>
    </row>
    <row r="201" spans="5:17" x14ac:dyDescent="0.25">
      <c r="H201" s="173">
        <v>0.8</v>
      </c>
      <c r="I201" s="173">
        <v>8.4499999999999993</v>
      </c>
      <c r="J201" s="173" t="b">
        <f t="shared" si="6"/>
        <v>0</v>
      </c>
      <c r="K201" s="173">
        <f t="shared" si="7"/>
        <v>0.8</v>
      </c>
      <c r="L201" s="173">
        <v>8</v>
      </c>
      <c r="M201" s="173">
        <v>12.2</v>
      </c>
      <c r="N201" s="173" t="b">
        <f t="shared" si="8"/>
        <v>0</v>
      </c>
      <c r="O201" s="173">
        <f t="shared" si="9"/>
        <v>8</v>
      </c>
      <c r="P201" s="173" t="b">
        <f t="shared" si="10"/>
        <v>0</v>
      </c>
      <c r="Q201" s="173">
        <f t="shared" si="11"/>
        <v>8</v>
      </c>
    </row>
    <row r="202" spans="5:17" x14ac:dyDescent="0.25">
      <c r="H202" s="173">
        <v>0.9</v>
      </c>
      <c r="I202" s="173">
        <v>8.65</v>
      </c>
      <c r="J202" s="173" t="b">
        <f t="shared" si="6"/>
        <v>0</v>
      </c>
      <c r="K202" s="173">
        <f t="shared" si="7"/>
        <v>0.9</v>
      </c>
      <c r="L202" s="173">
        <v>9</v>
      </c>
      <c r="M202" s="173">
        <v>12.5</v>
      </c>
      <c r="N202" s="173" t="b">
        <f t="shared" si="8"/>
        <v>0</v>
      </c>
      <c r="O202" s="173">
        <f t="shared" si="9"/>
        <v>9</v>
      </c>
      <c r="P202" s="173" t="b">
        <f t="shared" si="10"/>
        <v>0</v>
      </c>
      <c r="Q202" s="173">
        <f t="shared" si="11"/>
        <v>9</v>
      </c>
    </row>
    <row r="203" spans="5:17" x14ac:dyDescent="0.25">
      <c r="H203" s="173">
        <v>1</v>
      </c>
      <c r="I203" s="173">
        <v>8.9</v>
      </c>
      <c r="J203" s="173" t="b">
        <f t="shared" si="6"/>
        <v>0</v>
      </c>
      <c r="K203" s="173">
        <f t="shared" si="7"/>
        <v>1</v>
      </c>
      <c r="L203" s="173">
        <v>10</v>
      </c>
      <c r="M203" s="173">
        <v>12.8</v>
      </c>
      <c r="N203" s="173" t="b">
        <f t="shared" si="8"/>
        <v>0</v>
      </c>
      <c r="O203" s="173">
        <f t="shared" si="9"/>
        <v>10</v>
      </c>
      <c r="P203" s="173" t="b">
        <f t="shared" si="10"/>
        <v>0</v>
      </c>
      <c r="Q203" s="173">
        <f t="shared" si="11"/>
        <v>10</v>
      </c>
    </row>
    <row r="208" spans="5:17" x14ac:dyDescent="0.25">
      <c r="H208" s="192"/>
    </row>
    <row r="209" spans="8:8" x14ac:dyDescent="0.25">
      <c r="H209" s="192"/>
    </row>
    <row r="210" spans="8:8" x14ac:dyDescent="0.25">
      <c r="H210" s="192"/>
    </row>
    <row r="211" spans="8:8" x14ac:dyDescent="0.25">
      <c r="H211" s="192"/>
    </row>
    <row r="212" spans="8:8" x14ac:dyDescent="0.25">
      <c r="H212" s="192"/>
    </row>
    <row r="213" spans="8:8" x14ac:dyDescent="0.25">
      <c r="H213" s="192"/>
    </row>
  </sheetData>
  <sheetProtection algorithmName="SHA-512" hashValue="6xvFv1YWQYUB0vq6JV0sL0iQbK/NrfWU2uN89PViwyijTN0XQIOYxIDhKfNHi/k+8xcEeYo6TyQjSzg3eSqHgw==" saltValue="0IMz7l92U4RhIKnZwvuTJ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ZAPATA EXCENTRICA</vt:lpstr>
      <vt:lpstr>base d datos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dcterms:created xsi:type="dcterms:W3CDTF">2024-02-14T12:19:03Z</dcterms:created>
  <dcterms:modified xsi:type="dcterms:W3CDTF">2024-03-16T18:16:28Z</dcterms:modified>
</cp:coreProperties>
</file>