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embeddings/oleObject9.bin" ContentType="application/vnd.openxmlformats-officedocument.oleObject"/>
  <Override PartName="/xl/embeddings/oleObject10.bin" ContentType="application/vnd.openxmlformats-officedocument.oleObject"/>
  <Override PartName="/xl/embeddings/oleObject11.bin" ContentType="application/vnd.openxmlformats-officedocument.oleObject"/>
  <Override PartName="/xl/embeddings/oleObject12.bin" ContentType="application/vnd.openxmlformats-officedocument.oleObject"/>
  <Override PartName="/xl/embeddings/oleObject13.bin" ContentType="application/vnd.openxmlformats-officedocument.oleObject"/>
  <Override PartName="/xl/embeddings/oleObject14.bin" ContentType="application/vnd.openxmlformats-officedocument.oleObject"/>
  <Override PartName="/xl/embeddings/oleObject15.bin" ContentType="application/vnd.openxmlformats-officedocument.oleObject"/>
  <Override PartName="/xl/embeddings/oleObject16.bin" ContentType="application/vnd.openxmlformats-officedocument.oleObject"/>
  <Override PartName="/xl/embeddings/oleObject17.bin" ContentType="application/vnd.openxmlformats-officedocument.oleObject"/>
  <Override PartName="/xl/embeddings/oleObject18.bin" ContentType="application/vnd.openxmlformats-officedocument.oleObject"/>
  <Override PartName="/xl/embeddings/oleObject19.bin" ContentType="application/vnd.openxmlformats-officedocument.oleObject"/>
  <Override PartName="/xl/embeddings/oleObject20.bin" ContentType="application/vnd.openxmlformats-officedocument.oleObject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embeddings/oleObject21.bin" ContentType="application/vnd.openxmlformats-officedocument.oleObject"/>
  <Override PartName="/xl/embeddings/oleObject22.bin" ContentType="application/vnd.openxmlformats-officedocument.oleObject"/>
  <Override PartName="/xl/embeddings/oleObject23.bin" ContentType="application/vnd.openxmlformats-officedocument.oleObject"/>
  <Override PartName="/xl/embeddings/oleObject24.bin" ContentType="application/vnd.openxmlformats-officedocument.oleObject"/>
  <Override PartName="/xl/embeddings/oleObject25.bin" ContentType="application/vnd.openxmlformats-officedocument.oleObject"/>
  <Override PartName="/xl/embeddings/oleObject26.bin" ContentType="application/vnd.openxmlformats-officedocument.oleObject"/>
  <Override PartName="/xl/embeddings/oleObject27.bin" ContentType="application/vnd.openxmlformats-officedocument.oleObject"/>
  <Override PartName="/xl/embeddings/oleObject28.bin" ContentType="application/vnd.openxmlformats-officedocument.oleObject"/>
  <Override PartName="/xl/embeddings/oleObject29.bin" ContentType="application/vnd.openxmlformats-officedocument.oleObject"/>
  <Override PartName="/xl/embeddings/oleObject30.bin" ContentType="application/vnd.openxmlformats-officedocument.oleObject"/>
  <Override PartName="/xl/embeddings/oleObject31.bin" ContentType="application/vnd.openxmlformats-officedocument.oleObject"/>
  <Override PartName="/xl/embeddings/oleObject32.bin" ContentType="application/vnd.openxmlformats-officedocument.oleObject"/>
  <Override PartName="/xl/embeddings/oleObject33.bin" ContentType="application/vnd.openxmlformats-officedocument.oleObject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embeddings/oleObject34.bin" ContentType="application/vnd.openxmlformats-officedocument.oleObject"/>
  <Override PartName="/xl/embeddings/oleObject35.bin" ContentType="application/vnd.openxmlformats-officedocument.oleObject"/>
  <Override PartName="/xl/embeddings/oleObject36.bin" ContentType="application/vnd.openxmlformats-officedocument.oleObject"/>
  <Override PartName="/xl/embeddings/oleObject37.bin" ContentType="application/vnd.openxmlformats-officedocument.oleObject"/>
  <Override PartName="/xl/embeddings/oleObject38.bin" ContentType="application/vnd.openxmlformats-officedocument.oleObject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LENOVO\Documents\CALCULOS EXCEL\"/>
    </mc:Choice>
  </mc:AlternateContent>
  <bookViews>
    <workbookView xWindow="0" yWindow="0" windowWidth="20490" windowHeight="8340" activeTab="1"/>
  </bookViews>
  <sheets>
    <sheet name="CALCULO DE CAUDAL" sheetId="22" r:id="rId1"/>
    <sheet name="DISEÑO HIDRAULICO" sheetId="8" r:id="rId2"/>
    <sheet name="ANAL-ESTAB " sheetId="12" r:id="rId3"/>
    <sheet name="LONGMUROS" sheetId="7" r:id="rId4"/>
    <sheet name="MURO DE ENCAUSAMIENTO" sheetId="17" r:id="rId5"/>
  </sheets>
  <externalReferences>
    <externalReference r:id="rId6"/>
  </externalReferences>
  <definedNames>
    <definedName name="_xlnm.Extract" localSheetId="2">#REF!</definedName>
    <definedName name="_xlnm.Extract">#REF!</definedName>
    <definedName name="_xlnm.Print_Area" localSheetId="2">'ANAL-ESTAB '!$A$1:$K$145</definedName>
    <definedName name="_xlnm.Print_Area" localSheetId="1">'DISEÑO HIDRAULICO'!$A$1:$U$353</definedName>
    <definedName name="_xlnm.Print_Area" localSheetId="4">'MURO DE ENCAUSAMIENTO'!$A$2:$G$152</definedName>
    <definedName name="Base_datos_IM" localSheetId="2">#REF!</definedName>
    <definedName name="Base_datos_IM">#REF!</definedName>
    <definedName name="_xlnm.Database" localSheetId="2">#REF!</definedName>
    <definedName name="_xlnm.Database">#REF!</definedName>
    <definedName name="_xlnm.Criteria">#REF!</definedName>
    <definedName name="Criterios_IM">#REF!</definedName>
    <definedName name="Extracción_IM">#REF!</definedName>
    <definedName name="RESERVORIO">#REF!</definedName>
  </definedNames>
  <calcPr calcId="162913"/>
</workbook>
</file>

<file path=xl/calcChain.xml><?xml version="1.0" encoding="utf-8"?>
<calcChain xmlns="http://schemas.openxmlformats.org/spreadsheetml/2006/main">
  <c r="E23" i="22" l="1"/>
  <c r="Q15" i="8" l="1"/>
  <c r="N15" i="8"/>
  <c r="E205" i="8" l="1"/>
  <c r="D11" i="17" l="1"/>
  <c r="D13" i="17"/>
  <c r="C28" i="17" s="1"/>
  <c r="H29" i="12"/>
  <c r="G25" i="22" l="1"/>
  <c r="M30" i="22" s="1"/>
  <c r="M31" i="22" s="1"/>
  <c r="H24" i="22"/>
  <c r="J24" i="22" s="1"/>
  <c r="E24" i="22"/>
  <c r="J23" i="22"/>
  <c r="I23" i="22"/>
  <c r="P33" i="22" s="1"/>
  <c r="P35" i="22" s="1"/>
  <c r="J22" i="22"/>
  <c r="F22" i="22"/>
  <c r="F23" i="22" s="1"/>
  <c r="F24" i="22" s="1"/>
  <c r="E22" i="22"/>
  <c r="I22" i="22" s="1"/>
  <c r="O32" i="22" s="1"/>
  <c r="O35" i="22" s="1"/>
  <c r="J21" i="22"/>
  <c r="E21" i="22"/>
  <c r="I21" i="22" s="1"/>
  <c r="M19" i="22"/>
  <c r="M20" i="22" s="1"/>
  <c r="G17" i="22"/>
  <c r="H16" i="22"/>
  <c r="I16" i="22" s="1"/>
  <c r="E16" i="22"/>
  <c r="J15" i="22"/>
  <c r="E15" i="22"/>
  <c r="I15" i="22" s="1"/>
  <c r="P22" i="22" s="1"/>
  <c r="P24" i="22" s="1"/>
  <c r="J14" i="22"/>
  <c r="F14" i="22"/>
  <c r="F15" i="22" s="1"/>
  <c r="F16" i="22" s="1"/>
  <c r="E14" i="22"/>
  <c r="I14" i="22" s="1"/>
  <c r="O21" i="22" s="1"/>
  <c r="O24" i="22" s="1"/>
  <c r="J13" i="22"/>
  <c r="E13" i="22"/>
  <c r="I13" i="22" s="1"/>
  <c r="G8" i="22"/>
  <c r="D49" i="8" s="1"/>
  <c r="D64" i="8" s="1"/>
  <c r="Y7" i="22"/>
  <c r="AB7" i="22" s="1"/>
  <c r="AC7" i="22" s="1"/>
  <c r="H7" i="22"/>
  <c r="J7" i="22" s="1"/>
  <c r="E7" i="22"/>
  <c r="I7" i="22" s="1"/>
  <c r="Y6" i="22"/>
  <c r="AB6" i="22" s="1"/>
  <c r="AC6" i="22" s="1"/>
  <c r="J6" i="22"/>
  <c r="E6" i="22"/>
  <c r="I6" i="22" s="1"/>
  <c r="P11" i="22" s="1"/>
  <c r="P13" i="22" s="1"/>
  <c r="AB5" i="22"/>
  <c r="AC5" i="22" s="1"/>
  <c r="Y5" i="22"/>
  <c r="J5" i="22"/>
  <c r="F5" i="22"/>
  <c r="F6" i="22" s="1"/>
  <c r="F7" i="22" s="1"/>
  <c r="E5" i="22"/>
  <c r="I5" i="22" s="1"/>
  <c r="O10" i="22" s="1"/>
  <c r="O13" i="22" s="1"/>
  <c r="J4" i="22"/>
  <c r="E4" i="22"/>
  <c r="I4" i="22" s="1"/>
  <c r="AB9" i="22" l="1"/>
  <c r="M8" i="22"/>
  <c r="M9" i="22" s="1"/>
  <c r="O36" i="22"/>
  <c r="R30" i="22" s="1"/>
  <c r="I24" i="22"/>
  <c r="O14" i="22"/>
  <c r="R8" i="22" s="1"/>
  <c r="AC9" i="22"/>
  <c r="O25" i="22"/>
  <c r="R19" i="22" s="1"/>
  <c r="S19" i="22" s="1"/>
  <c r="J16" i="22"/>
  <c r="S30" i="22" l="1"/>
  <c r="R39" i="22"/>
  <c r="S8" i="22"/>
  <c r="R41" i="22" l="1"/>
  <c r="G6" i="8" s="1"/>
  <c r="R40" i="22"/>
  <c r="E130" i="17"/>
  <c r="E129" i="17"/>
  <c r="D86" i="17"/>
  <c r="D100" i="17" s="1"/>
  <c r="F81" i="17"/>
  <c r="F109" i="17" s="1"/>
  <c r="F76" i="17"/>
  <c r="D69" i="17"/>
  <c r="D59" i="17"/>
  <c r="C44" i="17"/>
  <c r="C43" i="17"/>
  <c r="C42" i="17"/>
  <c r="C46" i="17" s="1"/>
  <c r="C35" i="17"/>
  <c r="C34" i="17"/>
  <c r="C33" i="17"/>
  <c r="C26" i="17"/>
  <c r="C13" i="7"/>
  <c r="C11" i="7"/>
  <c r="C9" i="7"/>
  <c r="C7" i="7"/>
  <c r="U4" i="7"/>
  <c r="S4" i="7"/>
  <c r="G115" i="12"/>
  <c r="F105" i="12"/>
  <c r="E84" i="12"/>
  <c r="G73" i="12" s="1"/>
  <c r="E66" i="12"/>
  <c r="B62" i="12"/>
  <c r="G21" i="12"/>
  <c r="D326" i="8"/>
  <c r="D328" i="8" s="1"/>
  <c r="F325" i="8"/>
  <c r="E325" i="8"/>
  <c r="G244" i="8"/>
  <c r="E138" i="8"/>
  <c r="D263" i="8" s="1"/>
  <c r="C112" i="8"/>
  <c r="C113" i="8" s="1"/>
  <c r="C114" i="8" s="1"/>
  <c r="C115" i="8" s="1"/>
  <c r="C116" i="8" s="1"/>
  <c r="C117" i="8" s="1"/>
  <c r="C118" i="8" s="1"/>
  <c r="C119" i="8" s="1"/>
  <c r="C120" i="8" s="1"/>
  <c r="C121" i="8" s="1"/>
  <c r="D79" i="8"/>
  <c r="D78" i="8" s="1"/>
  <c r="D75" i="8"/>
  <c r="C75" i="8"/>
  <c r="D37" i="8"/>
  <c r="D32" i="8"/>
  <c r="R42" i="22" l="1"/>
  <c r="G8" i="8"/>
  <c r="C64" i="8"/>
  <c r="C5" i="7"/>
  <c r="C12" i="7" s="1"/>
  <c r="U5" i="7" s="1"/>
  <c r="U6" i="7" s="1"/>
  <c r="U7" i="7" s="1"/>
  <c r="U8" i="7" s="1"/>
  <c r="U9" i="7" s="1"/>
  <c r="U10" i="7" s="1"/>
  <c r="U11" i="7" s="1"/>
  <c r="U12" i="7" s="1"/>
  <c r="U13" i="7" s="1"/>
  <c r="U14" i="7" s="1"/>
  <c r="U24" i="7" s="1"/>
  <c r="U25" i="7" s="1"/>
  <c r="U26" i="7" s="1"/>
  <c r="U27" i="7" s="1"/>
  <c r="U28" i="7" s="1"/>
  <c r="U29" i="7" s="1"/>
  <c r="U30" i="7" s="1"/>
  <c r="U31" i="7" s="1"/>
  <c r="U32" i="7" s="1"/>
  <c r="U33" i="7" s="1"/>
  <c r="G6" i="7" s="1"/>
  <c r="D26" i="8"/>
  <c r="D48" i="8" s="1"/>
  <c r="D92" i="8"/>
  <c r="M10" i="8" s="1"/>
  <c r="D89" i="8"/>
  <c r="D93" i="8" s="1"/>
  <c r="C37" i="17"/>
  <c r="D70" i="17" s="1"/>
  <c r="D91" i="17"/>
  <c r="D72" i="17"/>
  <c r="C92" i="17"/>
  <c r="E181" i="8"/>
  <c r="E139" i="8"/>
  <c r="E141" i="8" s="1"/>
  <c r="D147" i="8"/>
  <c r="D126" i="8" s="1"/>
  <c r="D190" i="8"/>
  <c r="D191" i="8" s="1"/>
  <c r="E239" i="8" s="1"/>
  <c r="C10" i="7"/>
  <c r="S5" i="7" s="1"/>
  <c r="S6" i="7" s="1"/>
  <c r="S7" i="7" s="1"/>
  <c r="S8" i="7" s="1"/>
  <c r="S9" i="7" s="1"/>
  <c r="S10" i="7" s="1"/>
  <c r="S11" i="7" s="1"/>
  <c r="S12" i="7" s="1"/>
  <c r="S13" i="7" s="1"/>
  <c r="S14" i="7" s="1"/>
  <c r="S24" i="7" s="1"/>
  <c r="S25" i="7" s="1"/>
  <c r="S26" i="7" s="1"/>
  <c r="S27" i="7" s="1"/>
  <c r="S28" i="7" s="1"/>
  <c r="S29" i="7" s="1"/>
  <c r="S30" i="7" s="1"/>
  <c r="S31" i="7" s="1"/>
  <c r="S32" i="7" s="1"/>
  <c r="S33" i="7" s="1"/>
  <c r="G5" i="7" s="1"/>
  <c r="G7" i="7" s="1"/>
  <c r="C51" i="17" l="1"/>
  <c r="C53" i="17" s="1"/>
  <c r="D60" i="17" s="1"/>
  <c r="G7" i="8"/>
  <c r="R43" i="22"/>
  <c r="D61" i="17"/>
  <c r="C95" i="17" s="1"/>
  <c r="D93" i="17"/>
  <c r="D92" i="17"/>
  <c r="F92" i="17" s="1"/>
  <c r="C91" i="17"/>
  <c r="F91" i="17" s="1"/>
  <c r="D125" i="8"/>
  <c r="E134" i="8"/>
  <c r="E130" i="8"/>
  <c r="E236" i="8"/>
  <c r="E126" i="8"/>
  <c r="D6" i="12"/>
  <c r="C60" i="12" s="1"/>
  <c r="D55" i="12" s="1"/>
  <c r="E55" i="12" s="1"/>
  <c r="E132" i="8"/>
  <c r="E128" i="8"/>
  <c r="D133" i="8"/>
  <c r="D105" i="8"/>
  <c r="N12" i="8"/>
  <c r="O14" i="8" s="1"/>
  <c r="P14" i="8" s="1"/>
  <c r="D325" i="8"/>
  <c r="D327" i="8" s="1"/>
  <c r="D329" i="8" s="1"/>
  <c r="D129" i="8"/>
  <c r="E135" i="8"/>
  <c r="E133" i="8"/>
  <c r="E131" i="8"/>
  <c r="E129" i="8"/>
  <c r="E127" i="8"/>
  <c r="E125" i="8"/>
  <c r="D131" i="8"/>
  <c r="D127" i="8"/>
  <c r="D94" i="17"/>
  <c r="D95" i="17"/>
  <c r="F95" i="17" s="1"/>
  <c r="C135" i="8"/>
  <c r="C134" i="8"/>
  <c r="C133" i="8"/>
  <c r="C132" i="8"/>
  <c r="C131" i="8"/>
  <c r="C130" i="8"/>
  <c r="C129" i="8"/>
  <c r="C128" i="8"/>
  <c r="C127" i="8"/>
  <c r="C126" i="8"/>
  <c r="C125" i="8"/>
  <c r="D303" i="8"/>
  <c r="D304" i="8" s="1"/>
  <c r="D134" i="8"/>
  <c r="D132" i="8"/>
  <c r="D130" i="8"/>
  <c r="D128" i="8"/>
  <c r="D246" i="8"/>
  <c r="E237" i="8"/>
  <c r="E238" i="8"/>
  <c r="D205" i="8"/>
  <c r="D135" i="8"/>
  <c r="F135" i="8"/>
  <c r="F133" i="8"/>
  <c r="F131" i="8"/>
  <c r="F129" i="8"/>
  <c r="F127" i="8"/>
  <c r="F125" i="8"/>
  <c r="F134" i="8"/>
  <c r="F132" i="8"/>
  <c r="F130" i="8"/>
  <c r="F128" i="8"/>
  <c r="F126" i="8"/>
  <c r="S36" i="7"/>
  <c r="B25" i="7"/>
  <c r="G9" i="7"/>
  <c r="T36" i="7"/>
  <c r="C85" i="12" l="1"/>
  <c r="D307" i="8"/>
  <c r="C94" i="17"/>
  <c r="F94" i="17" s="1"/>
  <c r="C93" i="17"/>
  <c r="F93" i="17" s="1"/>
  <c r="F96" i="17" s="1"/>
  <c r="D104" i="17" s="1"/>
  <c r="D114" i="17" s="1"/>
  <c r="E240" i="8"/>
  <c r="F12" i="12"/>
  <c r="D67" i="12" s="1"/>
  <c r="D57" i="12" s="1"/>
  <c r="E57" i="12" s="1"/>
  <c r="D151" i="8"/>
  <c r="D155" i="8" s="1"/>
  <c r="D157" i="8" s="1"/>
  <c r="D161" i="8" s="1"/>
  <c r="D322" i="8" s="1"/>
  <c r="D323" i="8" s="1"/>
  <c r="D310" i="8"/>
  <c r="E16" i="12" s="1"/>
  <c r="E329" i="8"/>
  <c r="E86" i="12"/>
  <c r="G72" i="12"/>
  <c r="G113" i="12"/>
  <c r="D173" i="8"/>
  <c r="C180" i="8" s="1"/>
  <c r="C181" i="8" s="1"/>
  <c r="C10" i="12"/>
  <c r="K12" i="8"/>
  <c r="T13" i="8" s="1"/>
  <c r="D259" i="8"/>
  <c r="D267" i="8" s="1"/>
  <c r="D271" i="8" s="1"/>
  <c r="D96" i="12"/>
  <c r="E113" i="12" s="1"/>
  <c r="G114" i="12"/>
  <c r="L3" i="7"/>
  <c r="D25" i="7"/>
  <c r="C25" i="7"/>
  <c r="B26" i="7"/>
  <c r="C96" i="17" l="1"/>
  <c r="H342" i="8"/>
  <c r="D283" i="8"/>
  <c r="D277" i="8"/>
  <c r="I113" i="12"/>
  <c r="F57" i="12"/>
  <c r="G57" i="12" s="1"/>
  <c r="G19" i="12"/>
  <c r="D108" i="12"/>
  <c r="E115" i="12" s="1"/>
  <c r="I115" i="12" s="1"/>
  <c r="D19" i="12"/>
  <c r="E19" i="12" s="1"/>
  <c r="I19" i="12" s="1"/>
  <c r="G20" i="12"/>
  <c r="F19" i="12"/>
  <c r="H19" i="12" s="1"/>
  <c r="D21" i="12"/>
  <c r="E21" i="12" s="1"/>
  <c r="F21" i="12"/>
  <c r="E6" i="12"/>
  <c r="G48" i="12"/>
  <c r="C69" i="12"/>
  <c r="D134" i="17"/>
  <c r="E143" i="17"/>
  <c r="E151" i="17" s="1"/>
  <c r="E25" i="7"/>
  <c r="F25" i="7" s="1"/>
  <c r="G25" i="7"/>
  <c r="B27" i="7"/>
  <c r="C26" i="7"/>
  <c r="D26" i="7"/>
  <c r="C82" i="12" l="1"/>
  <c r="F55" i="12"/>
  <c r="G55" i="12" s="1"/>
  <c r="D60" i="12"/>
  <c r="D20" i="12"/>
  <c r="F20" i="12"/>
  <c r="I21" i="12"/>
  <c r="H21" i="12"/>
  <c r="J48" i="12"/>
  <c r="J49" i="12"/>
  <c r="G49" i="12"/>
  <c r="J47" i="12"/>
  <c r="E152" i="17"/>
  <c r="K25" i="7"/>
  <c r="H25" i="7"/>
  <c r="I25" i="7" s="1"/>
  <c r="E26" i="7"/>
  <c r="F26" i="7" s="1"/>
  <c r="G26" i="7"/>
  <c r="B28" i="7"/>
  <c r="D27" i="7"/>
  <c r="C27" i="7"/>
  <c r="E20" i="12" l="1"/>
  <c r="D22" i="12"/>
  <c r="D54" i="12" s="1"/>
  <c r="H20" i="12"/>
  <c r="H22" i="12" s="1"/>
  <c r="D56" i="12"/>
  <c r="E56" i="12" s="1"/>
  <c r="F56" i="12"/>
  <c r="D78" i="12"/>
  <c r="E78" i="12" s="1"/>
  <c r="D77" i="12"/>
  <c r="E77" i="12" s="1"/>
  <c r="F77" i="12"/>
  <c r="F78" i="12"/>
  <c r="B29" i="7"/>
  <c r="D28" i="7"/>
  <c r="C28" i="7"/>
  <c r="E27" i="7"/>
  <c r="F27" i="7" s="1"/>
  <c r="G27" i="7"/>
  <c r="K26" i="7"/>
  <c r="L26" i="7" s="1"/>
  <c r="M26" i="7" s="1"/>
  <c r="H26" i="7"/>
  <c r="I26" i="7" s="1"/>
  <c r="J26" i="7" s="1"/>
  <c r="G78" i="12" l="1"/>
  <c r="D58" i="12"/>
  <c r="E79" i="12"/>
  <c r="E112" i="12" s="1"/>
  <c r="G77" i="12"/>
  <c r="G56" i="12"/>
  <c r="E22" i="12"/>
  <c r="E24" i="12" s="1"/>
  <c r="F54" i="12" s="1"/>
  <c r="I20" i="12"/>
  <c r="I22" i="12" s="1"/>
  <c r="B30" i="7"/>
  <c r="D29" i="7"/>
  <c r="C29" i="7"/>
  <c r="N26" i="7"/>
  <c r="O26" i="7" s="1"/>
  <c r="H27" i="7"/>
  <c r="I27" i="7" s="1"/>
  <c r="J27" i="7" s="1"/>
  <c r="K27" i="7"/>
  <c r="L27" i="7" s="1"/>
  <c r="M27" i="7" s="1"/>
  <c r="E28" i="7"/>
  <c r="F28" i="7" s="1"/>
  <c r="G28" i="7"/>
  <c r="G24" i="12" l="1"/>
  <c r="G41" i="12" s="1"/>
  <c r="D44" i="12" s="1"/>
  <c r="D48" i="12" s="1"/>
  <c r="G79" i="12"/>
  <c r="G85" i="12" s="1"/>
  <c r="F112" i="12" s="1"/>
  <c r="I112" i="12" s="1"/>
  <c r="G32" i="12"/>
  <c r="D101" i="12"/>
  <c r="E54" i="12"/>
  <c r="H28" i="7"/>
  <c r="I28" i="7" s="1"/>
  <c r="J28" i="7" s="1"/>
  <c r="K28" i="7"/>
  <c r="L28" i="7" s="1"/>
  <c r="M28" i="7" s="1"/>
  <c r="E29" i="7"/>
  <c r="F29" i="7" s="1"/>
  <c r="G29" i="7"/>
  <c r="N27" i="7"/>
  <c r="O27" i="7" s="1"/>
  <c r="B31" i="7"/>
  <c r="D30" i="7"/>
  <c r="C30" i="7"/>
  <c r="F123" i="12" l="1"/>
  <c r="E114" i="12"/>
  <c r="I114" i="12" s="1"/>
  <c r="G54" i="12"/>
  <c r="G58" i="12" s="1"/>
  <c r="E58" i="12"/>
  <c r="E30" i="7"/>
  <c r="F30" i="7" s="1"/>
  <c r="G30" i="7"/>
  <c r="B32" i="7"/>
  <c r="D31" i="7"/>
  <c r="C31" i="7"/>
  <c r="H29" i="7"/>
  <c r="I29" i="7" s="1"/>
  <c r="J29" i="7" s="1"/>
  <c r="K29" i="7"/>
  <c r="L29" i="7" s="1"/>
  <c r="M29" i="7" s="1"/>
  <c r="N28" i="7"/>
  <c r="O28" i="7" s="1"/>
  <c r="G63" i="12" l="1"/>
  <c r="F111" i="12" s="1"/>
  <c r="E111" i="12"/>
  <c r="F121" i="12"/>
  <c r="F122" i="12" s="1"/>
  <c r="E125" i="12" s="1"/>
  <c r="H118" i="12"/>
  <c r="D139" i="12" s="1"/>
  <c r="I116" i="12"/>
  <c r="N29" i="7"/>
  <c r="O29" i="7" s="1"/>
  <c r="B33" i="7"/>
  <c r="D32" i="7"/>
  <c r="C32" i="7"/>
  <c r="E31" i="7"/>
  <c r="F31" i="7" s="1"/>
  <c r="G31" i="7"/>
  <c r="H30" i="7"/>
  <c r="I30" i="7" s="1"/>
  <c r="J30" i="7" s="1"/>
  <c r="K30" i="7"/>
  <c r="L30" i="7" s="1"/>
  <c r="M30" i="7" s="1"/>
  <c r="E141" i="12" l="1"/>
  <c r="E143" i="12" s="1"/>
  <c r="H111" i="12"/>
  <c r="H116" i="12" s="1"/>
  <c r="E118" i="12" s="1"/>
  <c r="H31" i="7"/>
  <c r="I31" i="7" s="1"/>
  <c r="J31" i="7" s="1"/>
  <c r="K31" i="7"/>
  <c r="L31" i="7" s="1"/>
  <c r="M31" i="7" s="1"/>
  <c r="E32" i="7"/>
  <c r="F32" i="7" s="1"/>
  <c r="G32" i="7"/>
  <c r="N30" i="7"/>
  <c r="O30" i="7" s="1"/>
  <c r="B34" i="7"/>
  <c r="D33" i="7"/>
  <c r="C33" i="7"/>
  <c r="E144" i="12" l="1"/>
  <c r="N31" i="7"/>
  <c r="O31" i="7" s="1"/>
  <c r="E33" i="7"/>
  <c r="F33" i="7" s="1"/>
  <c r="G33" i="7"/>
  <c r="B35" i="7"/>
  <c r="D34" i="7"/>
  <c r="C34" i="7"/>
  <c r="H32" i="7"/>
  <c r="I32" i="7" s="1"/>
  <c r="J32" i="7" s="1"/>
  <c r="K32" i="7"/>
  <c r="L32" i="7" s="1"/>
  <c r="M32" i="7" s="1"/>
  <c r="E34" i="7" l="1"/>
  <c r="F34" i="7" s="1"/>
  <c r="G34" i="7"/>
  <c r="H33" i="7"/>
  <c r="I33" i="7" s="1"/>
  <c r="J33" i="7" s="1"/>
  <c r="K33" i="7"/>
  <c r="L33" i="7" s="1"/>
  <c r="M33" i="7" s="1"/>
  <c r="N32" i="7"/>
  <c r="O32" i="7" s="1"/>
  <c r="D35" i="7"/>
  <c r="C35" i="7"/>
  <c r="H34" i="7" l="1"/>
  <c r="I34" i="7" s="1"/>
  <c r="J34" i="7" s="1"/>
  <c r="K34" i="7"/>
  <c r="L34" i="7" s="1"/>
  <c r="M34" i="7" s="1"/>
  <c r="E35" i="7"/>
  <c r="F35" i="7" s="1"/>
  <c r="G35" i="7"/>
  <c r="N33" i="7"/>
  <c r="O33" i="7" s="1"/>
  <c r="H35" i="7" l="1"/>
  <c r="I35" i="7" s="1"/>
  <c r="J35" i="7" s="1"/>
  <c r="K35" i="7"/>
  <c r="L35" i="7" s="1"/>
  <c r="M35" i="7" s="1"/>
  <c r="N34" i="7"/>
  <c r="O34" i="7" s="1"/>
  <c r="N35" i="7" l="1"/>
  <c r="O35" i="7" s="1"/>
</calcChain>
</file>

<file path=xl/comments1.xml><?xml version="1.0" encoding="utf-8"?>
<comments xmlns="http://schemas.openxmlformats.org/spreadsheetml/2006/main">
  <authors>
    <author>kd &amp; Hemart</author>
  </authors>
  <commentList>
    <comment ref="I122" authorId="0" shapeId="0">
      <text>
        <r>
          <rPr>
            <b/>
            <sz val="9"/>
            <color indexed="81"/>
            <rFont val="Tahoma"/>
            <family val="2"/>
          </rPr>
          <t>kd &amp; Hemart:</t>
        </r>
        <r>
          <rPr>
            <sz val="9"/>
            <color indexed="81"/>
            <rFont val="Tahoma"/>
            <family val="2"/>
          </rPr>
          <t xml:space="preserve">
COEFICIENTE DE FRICCION PARA CONCRETO Y GRAVA</t>
        </r>
      </text>
    </comment>
  </commentList>
</comments>
</file>

<file path=xl/comments2.xml><?xml version="1.0" encoding="utf-8"?>
<comments xmlns="http://schemas.openxmlformats.org/spreadsheetml/2006/main">
  <authors>
    <author>Usuario de Windows</author>
  </authors>
  <commentList>
    <comment ref="D59" authorId="0" shapeId="0">
      <text>
        <r>
          <rPr>
            <b/>
            <sz val="9"/>
            <color indexed="81"/>
            <rFont val="Tahoma"/>
            <family val="2"/>
          </rPr>
          <t>Espesor superior con a</t>
        </r>
      </text>
    </comment>
    <comment ref="D61" authorId="0" shapeId="0">
      <text>
        <r>
          <rPr>
            <b/>
            <sz val="9"/>
            <color indexed="81"/>
            <rFont val="Tahoma"/>
            <family val="2"/>
          </rPr>
          <t>Altura y peralte de cimentacion</t>
        </r>
      </text>
    </comment>
    <comment ref="D70" authorId="0" shapeId="0">
      <text>
        <r>
          <rPr>
            <b/>
            <sz val="9"/>
            <color indexed="81"/>
            <rFont val="Tahoma"/>
            <family val="2"/>
          </rPr>
          <t xml:space="preserve">Peralte </t>
        </r>
      </text>
    </comment>
    <comment ref="F76" authorId="0" shapeId="0">
      <text>
        <r>
          <rPr>
            <b/>
            <sz val="9"/>
            <color indexed="81"/>
            <rFont val="Tahoma"/>
            <family val="2"/>
          </rPr>
          <t>Angulo de friccion Q1</t>
        </r>
      </text>
    </comment>
    <comment ref="F81" authorId="0" shapeId="0">
      <text>
        <r>
          <rPr>
            <b/>
            <sz val="9"/>
            <color indexed="81"/>
            <rFont val="Tahoma"/>
            <family val="2"/>
          </rPr>
          <t xml:space="preserve">H = Altura de muro
ka = </t>
        </r>
      </text>
    </comment>
    <comment ref="C91" authorId="0" shapeId="0">
      <text>
        <r>
          <rPr>
            <b/>
            <sz val="9"/>
            <color indexed="81"/>
            <rFont val="Tahoma"/>
            <family val="2"/>
          </rPr>
          <t>Peralte de cimentacion * ancho de cimentacion *
peso especifico de concreto</t>
        </r>
      </text>
    </comment>
    <comment ref="D91" authorId="0" shapeId="0">
      <text>
        <r>
          <rPr>
            <b/>
            <sz val="9"/>
            <color indexed="81"/>
            <rFont val="Tahoma"/>
            <family val="2"/>
          </rPr>
          <t>Ancho de cimentacion</t>
        </r>
      </text>
    </comment>
    <comment ref="C92" authorId="0" shapeId="0">
      <text>
        <r>
          <rPr>
            <b/>
            <sz val="9"/>
            <color indexed="81"/>
            <rFont val="Tahoma"/>
            <family val="2"/>
          </rPr>
          <t xml:space="preserve">G - b espesor superior
</t>
        </r>
      </text>
    </comment>
    <comment ref="D100" authorId="0" shapeId="0">
      <text>
        <r>
          <rPr>
            <b/>
            <sz val="9"/>
            <color indexed="81"/>
            <rFont val="Tahoma"/>
            <family val="2"/>
          </rPr>
          <t>Empuje de agua / 
Tirante efectivo</t>
        </r>
      </text>
    </comment>
    <comment ref="D104" authorId="0" shapeId="0">
      <text>
        <r>
          <rPr>
            <b/>
            <sz val="9"/>
            <color indexed="81"/>
            <rFont val="Tahoma"/>
            <family val="2"/>
          </rPr>
          <t>Momento + ejercido por el agua</t>
        </r>
      </text>
    </comment>
    <comment ref="D134" authorId="0" shapeId="0">
      <text>
        <r>
          <rPr>
            <b/>
            <sz val="9"/>
            <color indexed="81"/>
            <rFont val="Tahoma"/>
            <family val="2"/>
          </rPr>
          <t>C9 = Cohesion
C7 = Angulo de friccion interna</t>
        </r>
      </text>
    </comment>
  </commentList>
</comments>
</file>

<file path=xl/sharedStrings.xml><?xml version="1.0" encoding="utf-8"?>
<sst xmlns="http://schemas.openxmlformats.org/spreadsheetml/2006/main" count="747" uniqueCount="532">
  <si>
    <t>a</t>
  </si>
  <si>
    <t>X</t>
  </si>
  <si>
    <t>A</t>
  </si>
  <si>
    <t>B</t>
  </si>
  <si>
    <t>Sp</t>
  </si>
  <si>
    <t>F</t>
  </si>
  <si>
    <t>DATOS:</t>
  </si>
  <si>
    <t xml:space="preserve">Caudal maximo de diseño </t>
  </si>
  <si>
    <t>Q =</t>
  </si>
  <si>
    <t>m3/seg</t>
  </si>
  <si>
    <t>Caudal medio del rio</t>
  </si>
  <si>
    <t>Caudal minimo</t>
  </si>
  <si>
    <t>Caudal a derivarse</t>
  </si>
  <si>
    <t>Pendiente del cauce del rio</t>
  </si>
  <si>
    <t>S =</t>
  </si>
  <si>
    <t>Pendiente del Canal de derivacion</t>
  </si>
  <si>
    <t>Coeficiente de Manning del rio</t>
  </si>
  <si>
    <t>n =</t>
  </si>
  <si>
    <t>Coeficiente de Manning del canal</t>
  </si>
  <si>
    <t>b =</t>
  </si>
  <si>
    <t>m</t>
  </si>
  <si>
    <t>a =</t>
  </si>
  <si>
    <t>Factor de fondo</t>
  </si>
  <si>
    <t>Fb =</t>
  </si>
  <si>
    <t>Factor de orilla</t>
  </si>
  <si>
    <t>Fs =</t>
  </si>
  <si>
    <t>Parametro que caracteriza al cauce</t>
  </si>
  <si>
    <t>1.-</t>
  </si>
  <si>
    <t>Usaremos las ecuaciones siguientes:</t>
  </si>
  <si>
    <t>BLENCH:</t>
  </si>
  <si>
    <t>B =</t>
  </si>
  <si>
    <t>ALTUNIN:</t>
  </si>
  <si>
    <t>PETIT:</t>
  </si>
  <si>
    <t>Donde:</t>
  </si>
  <si>
    <t xml:space="preserve">B </t>
  </si>
  <si>
    <t>: Ancho de encausamiento.</t>
  </si>
  <si>
    <t>Q</t>
  </si>
  <si>
    <t>: Caudal maximo de diseño.</t>
  </si>
  <si>
    <t xml:space="preserve">Fb </t>
  </si>
  <si>
    <t>: Factor de fondo.</t>
  </si>
  <si>
    <t xml:space="preserve">Fs </t>
  </si>
  <si>
    <t>: Factor de orilla.</t>
  </si>
  <si>
    <t>: Parametro que caracteriza al cauce.</t>
  </si>
  <si>
    <t>S</t>
  </si>
  <si>
    <t>: Pendiente del rio.</t>
  </si>
  <si>
    <t>Nota: Tomar el promedio de los tres valores.</t>
  </si>
  <si>
    <t>2.-</t>
  </si>
  <si>
    <t>A =</t>
  </si>
  <si>
    <t>B . yn</t>
  </si>
  <si>
    <t>P =</t>
  </si>
  <si>
    <t>B + 2 yn</t>
  </si>
  <si>
    <t>R =</t>
  </si>
  <si>
    <t>(B . Yn)/(B+2yn)</t>
  </si>
  <si>
    <t>Resolviendo por tanteos se tiene:</t>
  </si>
  <si>
    <t>yn =</t>
  </si>
  <si>
    <t>3.-</t>
  </si>
  <si>
    <t>Asumimos una seccion rectangular de MEH</t>
  </si>
  <si>
    <t>b = 2y</t>
  </si>
  <si>
    <t>A = b . y</t>
  </si>
  <si>
    <t>2y^2</t>
  </si>
  <si>
    <t>P = b+2y</t>
  </si>
  <si>
    <t>4y</t>
  </si>
  <si>
    <t>Resolviendo por tanteos</t>
  </si>
  <si>
    <t>y =</t>
  </si>
  <si>
    <t>Se tiene:</t>
  </si>
  <si>
    <t>Se desestima el valor de la velocidad de aproximacion; es decir h1 = 0</t>
  </si>
  <si>
    <t>h2=</t>
  </si>
  <si>
    <t>b  =</t>
  </si>
  <si>
    <t>5.-</t>
  </si>
  <si>
    <t>La altura del azud esta dado por:</t>
  </si>
  <si>
    <t>Altura del azud</t>
  </si>
  <si>
    <t>ho =</t>
  </si>
  <si>
    <t>Altura del fondo de rio a cresta de la ventana :</t>
  </si>
  <si>
    <t>H =</t>
  </si>
  <si>
    <t>Tirante total junto al azud  sin considerar velocidad de aproximacion:</t>
  </si>
  <si>
    <t>Y = P + H</t>
  </si>
  <si>
    <t xml:space="preserve">Y = </t>
  </si>
  <si>
    <t>Se aplica la ecuacion de continuidad:</t>
  </si>
  <si>
    <t>V = Q/A</t>
  </si>
  <si>
    <t xml:space="preserve">V = </t>
  </si>
  <si>
    <t>m/seg</t>
  </si>
  <si>
    <t xml:space="preserve">h = </t>
  </si>
  <si>
    <t>La altura total considerando la velocidad de aproximacion seria:</t>
  </si>
  <si>
    <t>do = P + H + h</t>
  </si>
  <si>
    <t xml:space="preserve">do = </t>
  </si>
  <si>
    <t>Se aplica la ecuacion de Bernoulli entre los puntos 0 y 1</t>
  </si>
  <si>
    <t>Asumiendo:</t>
  </si>
  <si>
    <t>Aplicando la ecuacion de continuidad se tiene:</t>
  </si>
  <si>
    <t>Resolviendo por tanteos:</t>
  </si>
  <si>
    <t>=</t>
  </si>
  <si>
    <t>COORDENADAS DE PERFIL CREAGER-OFIZEROFF PARA Ho =1</t>
  </si>
  <si>
    <t>ORD.INF.LAM</t>
  </si>
  <si>
    <t>ORD. AZUD</t>
  </si>
  <si>
    <t>ORD.SUP.LAM.</t>
  </si>
  <si>
    <t>Se determina con los valores de d1 y d2 calculados</t>
  </si>
  <si>
    <t>L = 4 d2</t>
  </si>
  <si>
    <t>U.S Bureau Of Reclamation</t>
  </si>
  <si>
    <t>L = 5(d2-d1)</t>
  </si>
  <si>
    <t xml:space="preserve">Baklmnetev - Martzke </t>
  </si>
  <si>
    <t>L = 4.5 d2</t>
  </si>
  <si>
    <t>Lafranetz</t>
  </si>
  <si>
    <t>Paulosky</t>
  </si>
  <si>
    <t xml:space="preserve">Para que el resalto sea sumergido debe cumplirse que: </t>
  </si>
  <si>
    <t>DISEÑO DE BOCATOMA</t>
  </si>
  <si>
    <t xml:space="preserve">k = </t>
  </si>
  <si>
    <t>Y =</t>
  </si>
  <si>
    <t>Calculo del radio minimo del trampolin:</t>
  </si>
  <si>
    <t xml:space="preserve">hvt = </t>
  </si>
  <si>
    <t>Calculo del gasto unitario:</t>
  </si>
  <si>
    <t>q = Q/B =</t>
  </si>
  <si>
    <t>m3/seg/m</t>
  </si>
  <si>
    <t>Vt =</t>
  </si>
  <si>
    <t>Tirante del agua al nivel del escarpe</t>
  </si>
  <si>
    <t xml:space="preserve">dt = q / Vt = </t>
  </si>
  <si>
    <t>Evaluacion del tipo de flujo:</t>
  </si>
  <si>
    <t>F =</t>
  </si>
  <si>
    <t>Flujo supercritico</t>
  </si>
  <si>
    <t>Con este valor ingresamos al abaco para la determinacion de R:</t>
  </si>
  <si>
    <t>Se aplica la Ley de Darcy</t>
  </si>
  <si>
    <t>V =</t>
  </si>
  <si>
    <t>Velocidad del flujo subterraneo.</t>
  </si>
  <si>
    <t>K =</t>
  </si>
  <si>
    <t>Coeficiente de permeabilidad.</t>
  </si>
  <si>
    <t>Diferencia de nivel entre aguas arriba y aguas abajo</t>
  </si>
  <si>
    <t xml:space="preserve">z = </t>
  </si>
  <si>
    <t>z = H - d1 =</t>
  </si>
  <si>
    <t>L =</t>
  </si>
  <si>
    <t xml:space="preserve">Coeficiente que depende del tipo de terreno. Para grava y arena = </t>
  </si>
  <si>
    <t xml:space="preserve">L = P + Lcuenca /3 = </t>
  </si>
  <si>
    <t xml:space="preserve">   B</t>
  </si>
  <si>
    <t>FIGURA</t>
  </si>
  <si>
    <t>AREA</t>
  </si>
  <si>
    <t>W</t>
  </si>
  <si>
    <t>Xc/ro</t>
  </si>
  <si>
    <t>Yc/ro</t>
  </si>
  <si>
    <t>WX</t>
  </si>
  <si>
    <t>WY</t>
  </si>
  <si>
    <t xml:space="preserve">            C</t>
  </si>
  <si>
    <t>C</t>
  </si>
  <si>
    <t>Ld =</t>
  </si>
  <si>
    <t>TOTALES</t>
  </si>
  <si>
    <t>ANALISIS DE ESTABILIDAD</t>
  </si>
  <si>
    <t>DETERMINACION DE CENTRO DE GRAVEDAD CUANDO LA PRESA ESTA VACIA.</t>
  </si>
  <si>
    <t>a.- CALCULO DEL TIRANTE AL PIE DEL BARRAJE (PUNTO 1)</t>
  </si>
  <si>
    <t>b.- CALCULO DEL TIRANTE CONJUGADO (PUNTO 2).</t>
  </si>
  <si>
    <t>Determinamos el Numero de Froude</t>
  </si>
  <si>
    <t>a.- CALCULO DE LA LONGITUD DEL COLCHON DISIPADOR:</t>
  </si>
  <si>
    <t>b.- CALCULO DE LA PROFUNDIDAD DEL COLCHON</t>
  </si>
  <si>
    <t>c.- CALCULO DE LA LONGITUD DEL CUERPO DEL AZUD:</t>
  </si>
  <si>
    <t>N=</t>
  </si>
  <si>
    <t>Ancho de muro divisorio:</t>
  </si>
  <si>
    <t>Ancho compuerta de limpia:</t>
  </si>
  <si>
    <t>Longitud neta del barraje:</t>
  </si>
  <si>
    <t>Longitud total del barraje</t>
  </si>
  <si>
    <t>La longitud de diseño esta dado por:</t>
  </si>
  <si>
    <t>Para la longitud total de diseño se toma el promedio:</t>
  </si>
  <si>
    <t>Según Lane el camino de percolacion viene dado por:</t>
  </si>
  <si>
    <t>Se debe igualar con la ecuacion de Lane:</t>
  </si>
  <si>
    <t>Grava media</t>
  </si>
  <si>
    <t>h =</t>
  </si>
  <si>
    <t>h = Diferencia de carga hidrostatica entre la carga sobre la cresta del barraje y la uña terminal de la poza de disipacion.</t>
  </si>
  <si>
    <t>DETERMINACION DE LA EXCENTRICIDAD CON PRESA VACIA CUANDO SE PRESENTA UN SISMO:</t>
  </si>
  <si>
    <t>FS</t>
  </si>
  <si>
    <t xml:space="preserve">         W</t>
  </si>
  <si>
    <t xml:space="preserve">     R</t>
  </si>
  <si>
    <t>FS = m.a</t>
  </si>
  <si>
    <t>m = W/g</t>
  </si>
  <si>
    <t>m/seg2</t>
  </si>
  <si>
    <t>Tn</t>
  </si>
  <si>
    <t xml:space="preserve">  X</t>
  </si>
  <si>
    <t>XR</t>
  </si>
  <si>
    <t>W*d -Fs * y = 0</t>
  </si>
  <si>
    <t xml:space="preserve">W*d = Fs * y  </t>
  </si>
  <si>
    <t>FS = W/g. 0.05g</t>
  </si>
  <si>
    <t xml:space="preserve">d = 0.05 y  </t>
  </si>
  <si>
    <t>d =</t>
  </si>
  <si>
    <t>La resultante de Fs y W esta a XR</t>
  </si>
  <si>
    <t>XR= d + x</t>
  </si>
  <si>
    <t xml:space="preserve">XR= </t>
  </si>
  <si>
    <t>La excentricidad sera igual a:</t>
  </si>
  <si>
    <t xml:space="preserve">e = </t>
  </si>
  <si>
    <t>El eje de la fuerza resultante pasa por el tercio central de la base (2/3b)=</t>
  </si>
  <si>
    <t>RESULTANTE DE LA FUERZA CON PRESA LLENA Y ACTUANDO VERTICALMENTE LAS PROYECCIONES HORIZONTALES DE LA PRESA</t>
  </si>
  <si>
    <t>Fig</t>
  </si>
  <si>
    <t>Area</t>
  </si>
  <si>
    <t>Xc/r0</t>
  </si>
  <si>
    <t>A,B,C</t>
  </si>
  <si>
    <t>D</t>
  </si>
  <si>
    <t>E</t>
  </si>
  <si>
    <t>Sumatoria</t>
  </si>
  <si>
    <t xml:space="preserve">                         E</t>
  </si>
  <si>
    <t>4.-</t>
  </si>
  <si>
    <t>CALCULO DE LAS SUBPRESIONES Y SU PUNTO DE APLICACIÓN</t>
  </si>
  <si>
    <t xml:space="preserve">         B</t>
  </si>
  <si>
    <t xml:space="preserve">Presion hidrostatica cara aguas arriba : </t>
  </si>
  <si>
    <t>P1 = W x h1</t>
  </si>
  <si>
    <t xml:space="preserve">Presion hidrostatica cara aguas abajo : </t>
  </si>
  <si>
    <t>P2 = W x h2</t>
  </si>
  <si>
    <t>Xc/r</t>
  </si>
  <si>
    <t>W.X</t>
  </si>
  <si>
    <t>Kgs/Cm2</t>
  </si>
  <si>
    <t>2/3B =</t>
  </si>
  <si>
    <t>3/3B =</t>
  </si>
  <si>
    <t>La resultante pasa por el tercio central</t>
  </si>
  <si>
    <t>EMPUJE HIDROSTATICO:</t>
  </si>
  <si>
    <t>EMPUJE HIDROSTATICO POR SISMO:</t>
  </si>
  <si>
    <t>Considerar a = 0.05 g</t>
  </si>
  <si>
    <t>F = m * a = 0.05W</t>
  </si>
  <si>
    <t>g =</t>
  </si>
  <si>
    <t>Tn/m3</t>
  </si>
  <si>
    <t>S. Saturado</t>
  </si>
  <si>
    <t>S. Sumergido</t>
  </si>
  <si>
    <t>Ka =</t>
  </si>
  <si>
    <t>Gravas y arenas</t>
  </si>
  <si>
    <t>A.-</t>
  </si>
  <si>
    <t>CALCULO DE LAS FUERZAS HORIZONTALES ACTUANTES:</t>
  </si>
  <si>
    <t>ANALISIS DE ESTABILIDAD POR VOLTEO:</t>
  </si>
  <si>
    <t>DESCRIPCION</t>
  </si>
  <si>
    <t>SUBPRESIONES</t>
  </si>
  <si>
    <t>PESO PRESA LLENA</t>
  </si>
  <si>
    <t>EMPUJE HIDROSTATICO</t>
  </si>
  <si>
    <t>EMPUJE SISMICO</t>
  </si>
  <si>
    <t>EMPUJE ACTIVO POR SEDIMENTOS</t>
  </si>
  <si>
    <t>EMPUJE ACTIVO DEL POR SEDIMENTOS</t>
  </si>
  <si>
    <t>SUMATORIAS</t>
  </si>
  <si>
    <t>FUERZA (Tn)</t>
  </si>
  <si>
    <t>Xc (m)</t>
  </si>
  <si>
    <t>Yc (m)</t>
  </si>
  <si>
    <t>MR (Tn.m)</t>
  </si>
  <si>
    <t>MA (Tn.m)</t>
  </si>
  <si>
    <t>B.-</t>
  </si>
  <si>
    <t>ANALISIS DE ESTABILIDAD POR DESLIZAMIENTO:</t>
  </si>
  <si>
    <t>Fuerzas Axiales (vertical)</t>
  </si>
  <si>
    <t>Fuerza Resistente</t>
  </si>
  <si>
    <t>Fuerzas Actuantes</t>
  </si>
  <si>
    <t>&gt; 1.5 OK!</t>
  </si>
  <si>
    <t>C.-</t>
  </si>
  <si>
    <t>ANALISIS DE ESTABILIDAD POR CAPACIDAD DE CARGA:</t>
  </si>
  <si>
    <t>Para esta verificacion se emplea la siguiente ecuacion:</t>
  </si>
  <si>
    <t>El valor de e' se determina tomando momentos de las fuerzas actuantes y las fuerzas resistentes</t>
  </si>
  <si>
    <t>W* n = E * y</t>
  </si>
  <si>
    <t>n = E * y /W</t>
  </si>
  <si>
    <t>tn</t>
  </si>
  <si>
    <t>valor d tirante al pie de barraje</t>
  </si>
  <si>
    <t>PARA SUELO GRANULAR MAS O MENOS 3 kg/cm2</t>
  </si>
  <si>
    <t>Caudal ecologico</t>
  </si>
  <si>
    <t>Q*n/S^(1/2)=</t>
  </si>
  <si>
    <t>A*R^2/3</t>
  </si>
  <si>
    <t xml:space="preserve">u = </t>
  </si>
  <si>
    <t>despejando</t>
  </si>
  <si>
    <t>Tirante en la ventana de captacion</t>
  </si>
  <si>
    <t>h2 o h =</t>
  </si>
  <si>
    <t>promedio</t>
  </si>
  <si>
    <t>C : Coeficiente de descarga en m/seg, varía desde 1.66 a 2.2</t>
  </si>
  <si>
    <t xml:space="preserve">H : Carga total sobre la cresta en m. </t>
  </si>
  <si>
    <t>Lv Longitud efectiva en m.</t>
  </si>
  <si>
    <t>Longitud del Colchón disipador</t>
  </si>
  <si>
    <t>F = 1</t>
  </si>
  <si>
    <t>: El régimen es crítico y el resalto no puede formarse.</t>
  </si>
  <si>
    <t>F &lt; 1.7</t>
  </si>
  <si>
    <t>: No es necesario la posa de disipación.</t>
  </si>
  <si>
    <t>1.7&gt;F&lt;2.5</t>
  </si>
  <si>
    <t>: El régimen es transitorio y no se forma un verdadero resalto, se debe aumentar en 10% el valor del tirante conjugado.</t>
  </si>
  <si>
    <t>2.5&gt;F&lt;4.5</t>
  </si>
  <si>
    <t>: El régimen se denomina de transición.</t>
  </si>
  <si>
    <t>4.5&gt;F&lt;9</t>
  </si>
  <si>
    <t>: El resalto es bien balanceado.</t>
  </si>
  <si>
    <t>9&gt;F</t>
  </si>
  <si>
    <t>: El resalto es efectivo pero con una superficie muy irregular aguas abajo</t>
  </si>
  <si>
    <t>Para el calculo de la fuerza sismica se considera una aceleracion de 0.05*gravedad =</t>
  </si>
  <si>
    <t>d</t>
  </si>
  <si>
    <t>e = XR - Ld/2</t>
  </si>
  <si>
    <t>Ld  =</t>
  </si>
  <si>
    <t>F          d1</t>
  </si>
  <si>
    <t>..H          D</t>
  </si>
  <si>
    <t xml:space="preserve">           A</t>
  </si>
  <si>
    <t>h1=</t>
  </si>
  <si>
    <t>h= P / 3</t>
  </si>
  <si>
    <t>h=h1</t>
  </si>
  <si>
    <t>Y=h1*1/3</t>
  </si>
  <si>
    <t>h2=d1+0.5</t>
  </si>
  <si>
    <t>con presa llena</t>
  </si>
  <si>
    <t>Fa =</t>
  </si>
  <si>
    <t>E1+E2+E3</t>
  </si>
  <si>
    <t>b = Ld</t>
  </si>
  <si>
    <t>FH</t>
  </si>
  <si>
    <t>FH =</t>
  </si>
  <si>
    <t>FV =</t>
  </si>
  <si>
    <t xml:space="preserve">FV </t>
  </si>
  <si>
    <t>Lw=</t>
  </si>
  <si>
    <t>medida del rio y cauce</t>
  </si>
  <si>
    <t>Las dimensiones de la ventana de captacion seria:</t>
  </si>
  <si>
    <t>La altura del baraje seria:</t>
  </si>
  <si>
    <t xml:space="preserve">Se aplica la ecuacion de tirantes conjugados para un regimen </t>
  </si>
  <si>
    <t>supercritico</t>
  </si>
  <si>
    <t>METODO DIRECTO POR TRAMOS</t>
  </si>
  <si>
    <t>DATOS</t>
  </si>
  <si>
    <t>yo=</t>
  </si>
  <si>
    <t>m3/S</t>
  </si>
  <si>
    <t>TIPO=</t>
  </si>
  <si>
    <t>y1=</t>
  </si>
  <si>
    <t>y2=</t>
  </si>
  <si>
    <t>So =</t>
  </si>
  <si>
    <t>yf=</t>
  </si>
  <si>
    <t>y3=</t>
  </si>
  <si>
    <t>y40</t>
  </si>
  <si>
    <t>∆y=</t>
  </si>
  <si>
    <t>y5=</t>
  </si>
  <si>
    <t xml:space="preserve"> k=</t>
  </si>
  <si>
    <t>y6=</t>
  </si>
  <si>
    <t>a=</t>
  </si>
  <si>
    <t>y7=</t>
  </si>
  <si>
    <t>m=</t>
  </si>
  <si>
    <t>y8=</t>
  </si>
  <si>
    <t>n=</t>
  </si>
  <si>
    <t>y9=</t>
  </si>
  <si>
    <t>y10=</t>
  </si>
  <si>
    <t>y</t>
  </si>
  <si>
    <t>P</t>
  </si>
  <si>
    <t>R</t>
  </si>
  <si>
    <t>R^2/3</t>
  </si>
  <si>
    <t>V</t>
  </si>
  <si>
    <t>V^2/(2g)</t>
  </si>
  <si>
    <t>∆E</t>
  </si>
  <si>
    <t>So-ŜE</t>
  </si>
  <si>
    <t>∆X</t>
  </si>
  <si>
    <t>L</t>
  </si>
  <si>
    <t>y11=</t>
  </si>
  <si>
    <t>y12=</t>
  </si>
  <si>
    <t>y13=</t>
  </si>
  <si>
    <t>y14=</t>
  </si>
  <si>
    <t>y15=</t>
  </si>
  <si>
    <t>y16=</t>
  </si>
  <si>
    <t>y17=</t>
  </si>
  <si>
    <t>y18=</t>
  </si>
  <si>
    <t>y19=</t>
  </si>
  <si>
    <t>y20=</t>
  </si>
  <si>
    <t>CALCULO DE TIPO DE CURVA DE REMANSO</t>
  </si>
  <si>
    <t>CURVA DE REMASO</t>
  </si>
  <si>
    <t>yn=</t>
  </si>
  <si>
    <t>yc=</t>
  </si>
  <si>
    <t>SE</t>
  </si>
  <si>
    <t>ŜE</t>
  </si>
  <si>
    <t>LONGITUD</t>
  </si>
  <si>
    <t>Z =</t>
  </si>
  <si>
    <t>TIRANTE Y</t>
  </si>
  <si>
    <t>rios gran caudal</t>
  </si>
  <si>
    <t>Peso especifico del relleno</t>
  </si>
  <si>
    <t>Peso especifico del concreto</t>
  </si>
  <si>
    <t>m.</t>
  </si>
  <si>
    <t>Parametros</t>
  </si>
  <si>
    <t>1º PREDIMENSIONAMIENTO</t>
  </si>
  <si>
    <t>a).- Espesor superior.</t>
  </si>
  <si>
    <t>Entonces tomamos como valor:</t>
  </si>
  <si>
    <t>b).- Peralte de la cimentación.</t>
  </si>
  <si>
    <t>0,12*H =</t>
  </si>
  <si>
    <t>0,16*H =</t>
  </si>
  <si>
    <t>0,14*H =</t>
  </si>
  <si>
    <t>Entonces tomamos como valor</t>
  </si>
  <si>
    <t>d=</t>
  </si>
  <si>
    <t>c).- Ancho de la cimentación.</t>
  </si>
  <si>
    <t>0,50*H =</t>
  </si>
  <si>
    <t>0,625*H =</t>
  </si>
  <si>
    <t>d).- Cálculo de B1 y B2</t>
  </si>
  <si>
    <t>B1 =</t>
  </si>
  <si>
    <t>B2 =</t>
  </si>
  <si>
    <t>Por lo tanto:</t>
  </si>
  <si>
    <t>G =</t>
  </si>
  <si>
    <t>E =</t>
  </si>
  <si>
    <t>FUERZA</t>
  </si>
  <si>
    <t>BRAZO DE MOMENTO</t>
  </si>
  <si>
    <t>MOMENTO</t>
  </si>
  <si>
    <t>W2</t>
  </si>
  <si>
    <t>W3</t>
  </si>
  <si>
    <t>W4</t>
  </si>
  <si>
    <t>W5</t>
  </si>
  <si>
    <t>TOTAL</t>
  </si>
  <si>
    <t>DISEÑO DE MUROS DE ENCAUZAMIENTO</t>
  </si>
  <si>
    <t>ɸ1:</t>
  </si>
  <si>
    <t>ϒ(Kg/m3):</t>
  </si>
  <si>
    <t>c1:</t>
  </si>
  <si>
    <t>ɸ2:</t>
  </si>
  <si>
    <t>c2:</t>
  </si>
  <si>
    <t>h(m):</t>
  </si>
  <si>
    <t>D(m):</t>
  </si>
  <si>
    <t>H(m):</t>
  </si>
  <si>
    <t>ϒ agua(Kg/m3):</t>
  </si>
  <si>
    <t>h agua(m):</t>
  </si>
  <si>
    <t>α:</t>
  </si>
  <si>
    <t>A. VERIFICACION POR VOLTEO</t>
  </si>
  <si>
    <t>1. Consideraremos las siguientes dimensiones:</t>
  </si>
  <si>
    <t>Corona:</t>
  </si>
  <si>
    <t>(min)</t>
  </si>
  <si>
    <t>Punta:</t>
  </si>
  <si>
    <t>Talon:</t>
  </si>
  <si>
    <t>Base:</t>
  </si>
  <si>
    <t>Ka:</t>
  </si>
  <si>
    <t>Pa (kg)</t>
  </si>
  <si>
    <t>4.Empuje del agua:</t>
  </si>
  <si>
    <t>Ea(kg)</t>
  </si>
  <si>
    <t>5.Verificacion contra volteo:</t>
  </si>
  <si>
    <t>6. Momento ejercido por el agua:</t>
  </si>
  <si>
    <t>Ea</t>
  </si>
  <si>
    <t>7.  Momento resistente:</t>
  </si>
  <si>
    <t>Mr</t>
  </si>
  <si>
    <t>8.Momento de volteo.</t>
  </si>
  <si>
    <t>Mo</t>
  </si>
  <si>
    <t>FS:</t>
  </si>
  <si>
    <t>&gt; 2 OK</t>
  </si>
  <si>
    <t>B. VERIFICACION POR DESLIZAMIENTO</t>
  </si>
  <si>
    <t>K1</t>
  </si>
  <si>
    <t>K2</t>
  </si>
  <si>
    <t>Pp</t>
  </si>
  <si>
    <t>&gt; 1.5 OK</t>
  </si>
  <si>
    <t>C. PRESION SOBRE EL SUELO</t>
  </si>
  <si>
    <t>1.Calculo de la excentricidad</t>
  </si>
  <si>
    <t>e</t>
  </si>
  <si>
    <t>2.Calculo de capacidad de carga de talon</t>
  </si>
  <si>
    <t>q talon(Kg/m2)</t>
  </si>
  <si>
    <t>q punta(Kg/m2)</t>
  </si>
  <si>
    <t xml:space="preserve">Angulo de fricion interna </t>
  </si>
  <si>
    <t>Cohecion</t>
  </si>
  <si>
    <t>Peso especifico del agua</t>
  </si>
  <si>
    <t xml:space="preserve">tirante efectivo del rio </t>
  </si>
  <si>
    <t>Altura de muro</t>
  </si>
  <si>
    <t>Df</t>
  </si>
  <si>
    <t>0,70*H =</t>
  </si>
  <si>
    <t>m. dimensión a Usar</t>
  </si>
  <si>
    <t>(0.7H)</t>
  </si>
  <si>
    <t>(0.16H)</t>
  </si>
  <si>
    <t>1/3B =</t>
  </si>
  <si>
    <t>2.Calculo de Ka: Coeficiente de presion activa de tierras</t>
  </si>
  <si>
    <t>3.Calculo de Pa: Empujes activo y pasivo</t>
  </si>
  <si>
    <t>Peso de muro W1</t>
  </si>
  <si>
    <t>Eh y Ev = componentes horizontal y vertical del empuje, por metro lineal.</t>
  </si>
  <si>
    <t>H = altura total del muro.</t>
  </si>
  <si>
    <t>B = ancho de la zapata.</t>
  </si>
  <si>
    <t>x = brazo de palanca de W respecto de la arista exterior de la zapata.</t>
  </si>
  <si>
    <t>CAUDAL POR EL MÉTODO DE CONTINUIDAD</t>
  </si>
  <si>
    <t>CÁLCULO DEL ÁREA SECCIÓN A-A</t>
  </si>
  <si>
    <t>CÁLCULO DE VELOCIDAD REAL DEL AGUA</t>
  </si>
  <si>
    <t>ESTACIÓN</t>
  </si>
  <si>
    <t>H.i.</t>
  </si>
  <si>
    <t>D.H.</t>
  </si>
  <si>
    <t>D.V</t>
  </si>
  <si>
    <t>DESNIVEL</t>
  </si>
  <si>
    <t>COTA</t>
  </si>
  <si>
    <t>EXTREMOS</t>
  </si>
  <si>
    <t>IMPAR</t>
  </si>
  <si>
    <t>ÁREA</t>
  </si>
  <si>
    <t>CAUDAL</t>
  </si>
  <si>
    <t>N°</t>
  </si>
  <si>
    <t>1 TIEMPO (S)</t>
  </si>
  <si>
    <t>PROMEDIO (S)</t>
  </si>
  <si>
    <t>V. Aparente</t>
  </si>
  <si>
    <t>V. Real</t>
  </si>
  <si>
    <t>EST. 01</t>
  </si>
  <si>
    <t>A-0</t>
  </si>
  <si>
    <t>A-1</t>
  </si>
  <si>
    <t>A-2</t>
  </si>
  <si>
    <t>A-3</t>
  </si>
  <si>
    <t>METROS</t>
  </si>
  <si>
    <t>K</t>
  </si>
  <si>
    <t>CÁLCULO DEL ÁREA SECCIÓN B-B</t>
  </si>
  <si>
    <t>CÁLCULO DEL ÁREA SECCÍÓN C-C</t>
  </si>
  <si>
    <t>ÁREA PROMEDIO</t>
  </si>
  <si>
    <t>PENDIENTE</t>
  </si>
  <si>
    <t>2 TIEMPO</t>
  </si>
  <si>
    <t>3 TIEMPO (S)</t>
  </si>
  <si>
    <t>N° DIVICIONES</t>
  </si>
  <si>
    <t>DIST. HORIZ.</t>
  </si>
  <si>
    <t>EST. 02</t>
  </si>
  <si>
    <t>SUMATORIA</t>
  </si>
  <si>
    <t>EST. 03</t>
  </si>
  <si>
    <t xml:space="preserve">CAUDAL MEDIO DEL RIO </t>
  </si>
  <si>
    <t>CAUDAL MAXIMO DEL RIO</t>
  </si>
  <si>
    <t xml:space="preserve">CAUDAL MINIMO </t>
  </si>
  <si>
    <t>CAUDAL ECOLOGICO</t>
  </si>
  <si>
    <t>d.- CONTROL DE LA FILTRACION.</t>
  </si>
  <si>
    <t>9.Factor de seguridad:</t>
  </si>
  <si>
    <t>LIMITE MAXIMO</t>
  </si>
  <si>
    <t>LIMITE MINIMO</t>
  </si>
  <si>
    <t>TUBERIA DE LIMPIEZA</t>
  </si>
  <si>
    <r>
      <t>P = h</t>
    </r>
    <r>
      <rPr>
        <vertAlign val="subscript"/>
        <sz val="10"/>
        <color indexed="8"/>
        <rFont val="Arial Narrow"/>
        <family val="2"/>
      </rPr>
      <t>o</t>
    </r>
    <r>
      <rPr>
        <sz val="10"/>
        <color indexed="8"/>
        <rFont val="Arial Narrow"/>
        <family val="2"/>
      </rPr>
      <t xml:space="preserve"> + h</t>
    </r>
    <r>
      <rPr>
        <vertAlign val="subscript"/>
        <sz val="10"/>
        <color indexed="8"/>
        <rFont val="Arial Narrow"/>
        <family val="2"/>
      </rPr>
      <t xml:space="preserve">2 </t>
    </r>
    <r>
      <rPr>
        <sz val="10"/>
        <color indexed="8"/>
        <rFont val="Arial Narrow"/>
        <family val="2"/>
      </rPr>
      <t>+ 0.20</t>
    </r>
  </si>
  <si>
    <r>
      <t>d</t>
    </r>
    <r>
      <rPr>
        <vertAlign val="subscript"/>
        <sz val="10"/>
        <color theme="1"/>
        <rFont val="Arial Narrow"/>
        <family val="2"/>
      </rPr>
      <t>1</t>
    </r>
    <r>
      <rPr>
        <sz val="10"/>
        <color theme="1"/>
        <rFont val="Arial Narrow"/>
        <family val="2"/>
      </rPr>
      <t>=</t>
    </r>
  </si>
  <si>
    <r>
      <t>V</t>
    </r>
    <r>
      <rPr>
        <vertAlign val="subscript"/>
        <sz val="10"/>
        <color indexed="8"/>
        <rFont val="Arial Narrow"/>
        <family val="2"/>
      </rPr>
      <t>1</t>
    </r>
    <r>
      <rPr>
        <sz val="10"/>
        <color indexed="8"/>
        <rFont val="Arial Narrow"/>
        <family val="2"/>
      </rPr>
      <t>=</t>
    </r>
  </si>
  <si>
    <r>
      <t>d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=</t>
    </r>
  </si>
  <si>
    <r>
      <t>L</t>
    </r>
    <r>
      <rPr>
        <vertAlign val="subscript"/>
        <sz val="10"/>
        <rFont val="Arial Narrow"/>
        <family val="2"/>
      </rPr>
      <t>w</t>
    </r>
    <r>
      <rPr>
        <sz val="10"/>
        <rFont val="Arial Narrow"/>
        <family val="2"/>
      </rPr>
      <t xml:space="preserve"> = c . H</t>
    </r>
  </si>
  <si>
    <r>
      <t>L</t>
    </r>
    <r>
      <rPr>
        <vertAlign val="subscript"/>
        <sz val="10"/>
        <rFont val="Arial Narrow"/>
        <family val="2"/>
      </rPr>
      <t>w</t>
    </r>
    <r>
      <rPr>
        <sz val="10"/>
        <rFont val="Arial Narrow"/>
        <family val="2"/>
      </rPr>
      <t xml:space="preserve"> = </t>
    </r>
  </si>
  <si>
    <t>VISTA FRONTAL</t>
  </si>
  <si>
    <t>1. ESTIMADO DEL ANCHO DE ENCAUSAMIENTO DEL RIO.</t>
  </si>
  <si>
    <t>2. DETERMINACION DEL TIRANTE NORMAL DEL RIO</t>
  </si>
  <si>
    <t>3. DIMENSIONAMIENTO DEL CANAL DE DERIVACION</t>
  </si>
  <si>
    <t>4. DIMENSIONAMIENTO DE LA VENTANA DE CAPTACION</t>
  </si>
  <si>
    <t>5. CALCULO DE LA ALTURA DEL BARRAJE.</t>
  </si>
  <si>
    <t>6. FORMA DE LA CRESTA DEL BARRAJE.</t>
  </si>
  <si>
    <t>7. LONGITUD TOTAL DEL BARRAJE</t>
  </si>
  <si>
    <t>8. CAPACIDAD DE DESCARGA DEL VERTEDOR.</t>
  </si>
  <si>
    <r>
      <t>h = V</t>
    </r>
    <r>
      <rPr>
        <b/>
        <vertAlign val="superscript"/>
        <sz val="10"/>
        <color rgb="FFC00000"/>
        <rFont val="Arial Narrow"/>
        <family val="2"/>
      </rPr>
      <t>2</t>
    </r>
    <r>
      <rPr>
        <b/>
        <sz val="10"/>
        <color rgb="FFC00000"/>
        <rFont val="Arial Narrow"/>
        <family val="2"/>
      </rPr>
      <t>/2g</t>
    </r>
  </si>
  <si>
    <t>9. TIRANTES EN EL BARRAJE Y COLCHON DE DISIPACION</t>
  </si>
  <si>
    <r>
      <t xml:space="preserve"> Z</t>
    </r>
    <r>
      <rPr>
        <i/>
        <vertAlign val="subscript"/>
        <sz val="11"/>
        <color indexed="8"/>
        <rFont val="Arial Narrow"/>
        <family val="2"/>
      </rPr>
      <t>0</t>
    </r>
    <r>
      <rPr>
        <i/>
        <sz val="11"/>
        <color indexed="8"/>
        <rFont val="Arial Narrow"/>
        <family val="2"/>
      </rPr>
      <t xml:space="preserve"> = Z</t>
    </r>
    <r>
      <rPr>
        <i/>
        <vertAlign val="subscript"/>
        <sz val="11"/>
        <color indexed="8"/>
        <rFont val="Arial Narrow"/>
        <family val="2"/>
      </rPr>
      <t>1</t>
    </r>
  </si>
  <si>
    <r>
      <t>h</t>
    </r>
    <r>
      <rPr>
        <i/>
        <vertAlign val="subscript"/>
        <sz val="11"/>
        <color indexed="8"/>
        <rFont val="Arial Narrow"/>
        <family val="2"/>
      </rPr>
      <t>01</t>
    </r>
    <r>
      <rPr>
        <i/>
        <sz val="11"/>
        <color indexed="8"/>
        <rFont val="Arial Narrow"/>
        <family val="2"/>
      </rPr>
      <t xml:space="preserve"> = 0.10V</t>
    </r>
    <r>
      <rPr>
        <i/>
        <vertAlign val="superscript"/>
        <sz val="11"/>
        <color indexed="8"/>
        <rFont val="Arial Narrow"/>
        <family val="2"/>
      </rPr>
      <t>2</t>
    </r>
    <r>
      <rPr>
        <i/>
        <sz val="11"/>
        <color indexed="8"/>
        <rFont val="Arial Narrow"/>
        <family val="2"/>
      </rPr>
      <t>/2g</t>
    </r>
  </si>
  <si>
    <r>
      <t>P</t>
    </r>
    <r>
      <rPr>
        <i/>
        <vertAlign val="subscript"/>
        <sz val="11"/>
        <rFont val="Arial Narrow"/>
        <family val="2"/>
      </rPr>
      <t>c</t>
    </r>
    <r>
      <rPr>
        <i/>
        <sz val="11"/>
        <rFont val="Arial Narrow"/>
        <family val="2"/>
      </rPr>
      <t>: Pérdida de carga entre 0 - 1</t>
    </r>
  </si>
  <si>
    <r>
      <t>V</t>
    </r>
    <r>
      <rPr>
        <i/>
        <vertAlign val="subscript"/>
        <sz val="11"/>
        <color indexed="8"/>
        <rFont val="Arial Narrow"/>
        <family val="2"/>
      </rPr>
      <t>0</t>
    </r>
    <r>
      <rPr>
        <i/>
        <sz val="11"/>
        <color indexed="8"/>
        <rFont val="Arial Narrow"/>
        <family val="2"/>
      </rPr>
      <t xml:space="preserve"> = Q/B.do =</t>
    </r>
  </si>
  <si>
    <r>
      <t>Q</t>
    </r>
    <r>
      <rPr>
        <b/>
        <i/>
        <vertAlign val="subscript"/>
        <sz val="10"/>
        <color rgb="FFC00000"/>
        <rFont val="Arial Narrow"/>
        <family val="2"/>
      </rPr>
      <t>0</t>
    </r>
    <r>
      <rPr>
        <b/>
        <i/>
        <sz val="10"/>
        <color rgb="FFC00000"/>
        <rFont val="Arial Narrow"/>
        <family val="2"/>
      </rPr>
      <t xml:space="preserve"> = Q</t>
    </r>
    <r>
      <rPr>
        <b/>
        <i/>
        <vertAlign val="subscript"/>
        <sz val="10"/>
        <color rgb="FFC00000"/>
        <rFont val="Arial Narrow"/>
        <family val="2"/>
      </rPr>
      <t>1</t>
    </r>
  </si>
  <si>
    <r>
      <t>A</t>
    </r>
    <r>
      <rPr>
        <b/>
        <i/>
        <vertAlign val="subscript"/>
        <sz val="10"/>
        <color rgb="FFC00000"/>
        <rFont val="Arial Narrow"/>
        <family val="2"/>
      </rPr>
      <t>0</t>
    </r>
    <r>
      <rPr>
        <b/>
        <i/>
        <sz val="10"/>
        <color rgb="FFC00000"/>
        <rFont val="Arial Narrow"/>
        <family val="2"/>
      </rPr>
      <t>.V</t>
    </r>
    <r>
      <rPr>
        <b/>
        <i/>
        <vertAlign val="subscript"/>
        <sz val="10"/>
        <color rgb="FFC00000"/>
        <rFont val="Arial Narrow"/>
        <family val="2"/>
      </rPr>
      <t>0</t>
    </r>
    <r>
      <rPr>
        <b/>
        <i/>
        <sz val="10"/>
        <color rgb="FFC00000"/>
        <rFont val="Arial Narrow"/>
        <family val="2"/>
      </rPr>
      <t xml:space="preserve"> = A</t>
    </r>
    <r>
      <rPr>
        <b/>
        <i/>
        <vertAlign val="subscript"/>
        <sz val="10"/>
        <color rgb="FFC00000"/>
        <rFont val="Arial Narrow"/>
        <family val="2"/>
      </rPr>
      <t>1</t>
    </r>
    <r>
      <rPr>
        <b/>
        <i/>
        <sz val="10"/>
        <color rgb="FFC00000"/>
        <rFont val="Arial Narrow"/>
        <family val="2"/>
      </rPr>
      <t>.V</t>
    </r>
    <r>
      <rPr>
        <b/>
        <i/>
        <vertAlign val="subscript"/>
        <sz val="10"/>
        <color rgb="FFC00000"/>
        <rFont val="Arial Narrow"/>
        <family val="2"/>
      </rPr>
      <t>1</t>
    </r>
  </si>
  <si>
    <r>
      <t>V</t>
    </r>
    <r>
      <rPr>
        <b/>
        <i/>
        <vertAlign val="subscript"/>
        <sz val="10"/>
        <color rgb="FFC00000"/>
        <rFont val="Arial Narrow"/>
        <family val="2"/>
      </rPr>
      <t>1</t>
    </r>
    <r>
      <rPr>
        <b/>
        <i/>
        <sz val="10"/>
        <color rgb="FFC00000"/>
        <rFont val="Arial Narrow"/>
        <family val="2"/>
      </rPr>
      <t>=A</t>
    </r>
    <r>
      <rPr>
        <b/>
        <i/>
        <vertAlign val="subscript"/>
        <sz val="10"/>
        <color rgb="FFC00000"/>
        <rFont val="Arial Narrow"/>
        <family val="2"/>
      </rPr>
      <t>0</t>
    </r>
    <r>
      <rPr>
        <b/>
        <i/>
        <sz val="10"/>
        <color rgb="FFC00000"/>
        <rFont val="Arial Narrow"/>
        <family val="2"/>
      </rPr>
      <t>.V</t>
    </r>
    <r>
      <rPr>
        <b/>
        <i/>
        <vertAlign val="subscript"/>
        <sz val="10"/>
        <color rgb="FFC00000"/>
        <rFont val="Arial Narrow"/>
        <family val="2"/>
      </rPr>
      <t>0</t>
    </r>
    <r>
      <rPr>
        <b/>
        <i/>
        <sz val="10"/>
        <color rgb="FFC00000"/>
        <rFont val="Arial Narrow"/>
        <family val="2"/>
      </rPr>
      <t xml:space="preserve"> /A</t>
    </r>
    <r>
      <rPr>
        <b/>
        <i/>
        <vertAlign val="subscript"/>
        <sz val="10"/>
        <color rgb="FFC00000"/>
        <rFont val="Arial Narrow"/>
        <family val="2"/>
      </rPr>
      <t>1</t>
    </r>
  </si>
  <si>
    <r>
      <t>d</t>
    </r>
    <r>
      <rPr>
        <i/>
        <vertAlign val="subscript"/>
        <sz val="10"/>
        <color indexed="8"/>
        <rFont val="Arial Narrow"/>
        <family val="2"/>
      </rPr>
      <t>1</t>
    </r>
    <r>
      <rPr>
        <i/>
        <sz val="10"/>
        <color indexed="8"/>
        <rFont val="Arial Narrow"/>
        <family val="2"/>
      </rPr>
      <t>+1.10 Q</t>
    </r>
    <r>
      <rPr>
        <i/>
        <vertAlign val="subscript"/>
        <sz val="10"/>
        <color indexed="8"/>
        <rFont val="Arial Narrow"/>
        <family val="2"/>
      </rPr>
      <t>1</t>
    </r>
    <r>
      <rPr>
        <i/>
        <vertAlign val="superscript"/>
        <sz val="10"/>
        <color indexed="8"/>
        <rFont val="Arial Narrow"/>
        <family val="2"/>
      </rPr>
      <t>2</t>
    </r>
    <r>
      <rPr>
        <i/>
        <sz val="10"/>
        <color indexed="8"/>
        <rFont val="Arial Narrow"/>
        <family val="2"/>
      </rPr>
      <t>/2g(B.d1)^2</t>
    </r>
  </si>
  <si>
    <t>10. CALCULO DE LA LONGITUD DEL COLCHON DISIPADOR.</t>
  </si>
  <si>
    <t>L=2.5(1.4 d2-d1)</t>
  </si>
  <si>
    <r>
      <t>L</t>
    </r>
    <r>
      <rPr>
        <vertAlign val="subscript"/>
        <sz val="10"/>
        <color rgb="FFC00000"/>
        <rFont val="Arial Narrow"/>
        <family val="2"/>
      </rPr>
      <t>prom</t>
    </r>
    <r>
      <rPr>
        <sz val="10"/>
        <color rgb="FFC00000"/>
        <rFont val="Arial Narrow"/>
        <family val="2"/>
      </rPr>
      <t xml:space="preserve"> =</t>
    </r>
  </si>
  <si>
    <r>
      <t>Y = k*d</t>
    </r>
    <r>
      <rPr>
        <b/>
        <i/>
        <vertAlign val="subscript"/>
        <sz val="11"/>
        <color rgb="FFC00000"/>
        <rFont val="Arial Narrow"/>
        <family val="2"/>
      </rPr>
      <t xml:space="preserve">2 </t>
    </r>
    <r>
      <rPr>
        <b/>
        <i/>
        <sz val="11"/>
        <color rgb="FFC00000"/>
        <rFont val="Arial Narrow"/>
        <family val="2"/>
      </rPr>
      <t>- ( H-Z</t>
    </r>
    <r>
      <rPr>
        <b/>
        <i/>
        <vertAlign val="subscript"/>
        <sz val="11"/>
        <color rgb="FFC00000"/>
        <rFont val="Arial Narrow"/>
        <family val="2"/>
      </rPr>
      <t xml:space="preserve">1 </t>
    </r>
    <r>
      <rPr>
        <b/>
        <i/>
        <sz val="11"/>
        <color rgb="FFC00000"/>
        <rFont val="Arial Narrow"/>
        <family val="2"/>
      </rPr>
      <t xml:space="preserve">) </t>
    </r>
  </si>
  <si>
    <t>min=</t>
  </si>
  <si>
    <r>
      <t>Z</t>
    </r>
    <r>
      <rPr>
        <i/>
        <vertAlign val="subscript"/>
        <sz val="11"/>
        <color rgb="FF002060"/>
        <rFont val="Arial Narrow"/>
        <family val="2"/>
      </rPr>
      <t>1</t>
    </r>
    <r>
      <rPr>
        <i/>
        <sz val="11"/>
        <color rgb="FF002060"/>
        <rFont val="Arial Narrow"/>
        <family val="2"/>
      </rPr>
      <t xml:space="preserve">= </t>
    </r>
  </si>
  <si>
    <t>hvt = (P+H)-d1</t>
  </si>
  <si>
    <t>*B = long. Neta del barraje</t>
  </si>
  <si>
    <t xml:space="preserve">k/V = </t>
  </si>
  <si>
    <r>
      <t>L</t>
    </r>
    <r>
      <rPr>
        <i/>
        <vertAlign val="subscript"/>
        <sz val="10"/>
        <color rgb="FFC00000"/>
        <rFont val="Arial Narrow"/>
        <family val="2"/>
      </rPr>
      <t>w</t>
    </r>
    <r>
      <rPr>
        <i/>
        <sz val="10"/>
        <color rgb="FFC00000"/>
        <rFont val="Arial Narrow"/>
        <family val="2"/>
      </rPr>
      <t xml:space="preserve"> = ΣL</t>
    </r>
    <r>
      <rPr>
        <i/>
        <vertAlign val="subscript"/>
        <sz val="10"/>
        <color rgb="FFC00000"/>
        <rFont val="Arial Narrow"/>
        <family val="2"/>
      </rPr>
      <t>V</t>
    </r>
    <r>
      <rPr>
        <i/>
        <sz val="10"/>
        <color rgb="FFC00000"/>
        <rFont val="Arial Narrow"/>
        <family val="2"/>
      </rPr>
      <t xml:space="preserve"> + Σ(L</t>
    </r>
    <r>
      <rPr>
        <i/>
        <vertAlign val="subscript"/>
        <sz val="10"/>
        <color rgb="FFC00000"/>
        <rFont val="Arial Narrow"/>
        <family val="2"/>
      </rPr>
      <t>H</t>
    </r>
    <r>
      <rPr>
        <i/>
        <sz val="10"/>
        <color rgb="FFC00000"/>
        <rFont val="Arial Narrow"/>
        <family val="2"/>
      </rPr>
      <t>/3)</t>
    </r>
  </si>
  <si>
    <t>c = Coeficiente de Lane.</t>
  </si>
  <si>
    <r>
      <t>L</t>
    </r>
    <r>
      <rPr>
        <i/>
        <vertAlign val="subscript"/>
        <sz val="10"/>
        <rFont val="Arial Narrow"/>
        <family val="2"/>
      </rPr>
      <t>w</t>
    </r>
    <r>
      <rPr>
        <i/>
        <sz val="10"/>
        <rFont val="Arial Narrow"/>
        <family val="2"/>
      </rPr>
      <t xml:space="preserve"> = Longitud del camino de percolacion</t>
    </r>
  </si>
  <si>
    <t>c =</t>
  </si>
  <si>
    <r>
      <t>L</t>
    </r>
    <r>
      <rPr>
        <b/>
        <i/>
        <vertAlign val="subscript"/>
        <sz val="11"/>
        <color rgb="FFC00000"/>
        <rFont val="Arial Narrow"/>
        <family val="2"/>
      </rPr>
      <t>w</t>
    </r>
    <r>
      <rPr>
        <b/>
        <i/>
        <sz val="11"/>
        <color rgb="FFC00000"/>
        <rFont val="Arial Narrow"/>
        <family val="2"/>
      </rPr>
      <t xml:space="preserve"> = c . H</t>
    </r>
  </si>
  <si>
    <t>H = P - d2 =</t>
  </si>
  <si>
    <t>F= m Fa</t>
  </si>
  <si>
    <t>m =</t>
  </si>
  <si>
    <t>E1 =</t>
  </si>
  <si>
    <t>E2 = 0.05W</t>
  </si>
  <si>
    <t>E2 =</t>
  </si>
  <si>
    <t>E3 =</t>
  </si>
  <si>
    <t>Y2 = 0.70 m</t>
  </si>
  <si>
    <t>hn = 0.40 m</t>
  </si>
  <si>
    <t>CORTE B-B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</si>
</sst>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0.0000"/>
    <numFmt numFmtId="165" formatCode="0.00000"/>
    <numFmt numFmtId="166" formatCode="0.000"/>
    <numFmt numFmtId="167" formatCode="0.0"/>
    <numFmt numFmtId="168" formatCode="0.0000000"/>
    <numFmt numFmtId="169" formatCode="0.000000"/>
    <numFmt numFmtId="170" formatCode="#,##0.0"/>
    <numFmt numFmtId="171" formatCode="#,##0.0000"/>
    <numFmt numFmtId="172" formatCode="#,##0.000"/>
  </numFmts>
  <fonts count="73" x14ac:knownFonts="1">
    <font>
      <sz val="10"/>
      <name val="Courier"/>
    </font>
    <font>
      <sz val="10"/>
      <name val="Arial"/>
      <family val="2"/>
    </font>
    <font>
      <sz val="8"/>
      <name val="Courier"/>
      <family val="3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Courier"/>
      <family val="3"/>
    </font>
    <font>
      <sz val="11"/>
      <name val="Calibri"/>
      <family val="2"/>
      <scheme val="minor"/>
    </font>
    <font>
      <sz val="10"/>
      <name val="Courier"/>
    </font>
    <font>
      <sz val="11"/>
      <color theme="1"/>
      <name val="Arial Narrow"/>
      <family val="2"/>
    </font>
    <font>
      <sz val="10"/>
      <name val="Arial Narrow"/>
      <family val="2"/>
    </font>
    <font>
      <b/>
      <sz val="8"/>
      <color rgb="FF002060"/>
      <name val="Arial Narrow"/>
      <family val="2"/>
    </font>
    <font>
      <sz val="10"/>
      <color indexed="8"/>
      <name val="Arial Narrow"/>
      <family val="2"/>
    </font>
    <font>
      <b/>
      <sz val="18"/>
      <color rgb="FFC00000"/>
      <name val="Arial Narrow"/>
      <family val="2"/>
    </font>
    <font>
      <b/>
      <sz val="12"/>
      <color theme="1"/>
      <name val="Arial Narrow"/>
      <family val="2"/>
    </font>
    <font>
      <sz val="10"/>
      <color theme="1"/>
      <name val="Arial Narrow"/>
      <family val="2"/>
    </font>
    <font>
      <b/>
      <i/>
      <sz val="12"/>
      <color rgb="FFC00000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b/>
      <sz val="10"/>
      <color indexed="8"/>
      <name val="Arial Narrow"/>
      <family val="2"/>
    </font>
    <font>
      <vertAlign val="subscript"/>
      <sz val="10"/>
      <color indexed="8"/>
      <name val="Arial Narrow"/>
      <family val="2"/>
    </font>
    <font>
      <b/>
      <sz val="7"/>
      <color theme="0"/>
      <name val="Arial Narrow"/>
      <family val="2"/>
    </font>
    <font>
      <b/>
      <sz val="8"/>
      <color theme="1"/>
      <name val="Arial Narrow"/>
      <family val="2"/>
    </font>
    <font>
      <b/>
      <sz val="7"/>
      <color theme="1"/>
      <name val="Arial Narrow"/>
      <family val="2"/>
    </font>
    <font>
      <sz val="8"/>
      <color theme="1"/>
      <name val="Arial Narrow"/>
      <family val="2"/>
    </font>
    <font>
      <sz val="8"/>
      <color indexed="8"/>
      <name val="Arial Narrow"/>
      <family val="2"/>
    </font>
    <font>
      <b/>
      <sz val="11"/>
      <color theme="1"/>
      <name val="Arial Narrow"/>
      <family val="2"/>
    </font>
    <font>
      <vertAlign val="subscript"/>
      <sz val="10"/>
      <name val="Arial Narrow"/>
      <family val="2"/>
    </font>
    <font>
      <vertAlign val="subscript"/>
      <sz val="10"/>
      <color theme="1"/>
      <name val="Arial Narrow"/>
      <family val="2"/>
    </font>
    <font>
      <sz val="7.5"/>
      <name val="Arial Narrow"/>
      <family val="2"/>
    </font>
    <font>
      <sz val="11"/>
      <color indexed="8"/>
      <name val="Arial Narrow"/>
      <family val="2"/>
    </font>
    <font>
      <sz val="6"/>
      <name val="Arial Narrow"/>
      <family val="2"/>
    </font>
    <font>
      <sz val="11"/>
      <name val="Arial Narrow"/>
      <family val="2"/>
    </font>
    <font>
      <b/>
      <sz val="11"/>
      <color theme="0"/>
      <name val="Arial Narrow"/>
      <family val="2"/>
    </font>
    <font>
      <b/>
      <sz val="10"/>
      <color theme="0"/>
      <name val="Arial Narrow"/>
      <family val="2"/>
    </font>
    <font>
      <b/>
      <sz val="12"/>
      <color rgb="FFC00000"/>
      <name val="Arial Narrow"/>
      <family val="2"/>
    </font>
    <font>
      <b/>
      <i/>
      <sz val="11"/>
      <color rgb="FF002060"/>
      <name val="Arial Narrow"/>
      <family val="2"/>
    </font>
    <font>
      <i/>
      <sz val="11"/>
      <color rgb="FF002060"/>
      <name val="Arial Narrow"/>
      <family val="2"/>
    </font>
    <font>
      <sz val="10"/>
      <color rgb="FF0070C0"/>
      <name val="Arial Narrow"/>
      <family val="2"/>
    </font>
    <font>
      <b/>
      <sz val="10"/>
      <color rgb="FF002060"/>
      <name val="Arial Narrow"/>
      <family val="2"/>
    </font>
    <font>
      <b/>
      <sz val="11"/>
      <color rgb="FF002060"/>
      <name val="Arial Narrow"/>
      <family val="2"/>
    </font>
    <font>
      <b/>
      <i/>
      <u/>
      <sz val="10"/>
      <color rgb="FF002060"/>
      <name val="Arial Narrow"/>
      <family val="2"/>
    </font>
    <font>
      <b/>
      <sz val="10"/>
      <color rgb="FFC00000"/>
      <name val="Arial Narrow"/>
      <family val="2"/>
    </font>
    <font>
      <i/>
      <sz val="10"/>
      <name val="Arial Narrow"/>
      <family val="2"/>
    </font>
    <font>
      <i/>
      <sz val="10"/>
      <color rgb="FFC00000"/>
      <name val="Arial Narrow"/>
      <family val="2"/>
    </font>
    <font>
      <i/>
      <sz val="10"/>
      <color indexed="8"/>
      <name val="Arial Narrow"/>
      <family val="2"/>
    </font>
    <font>
      <b/>
      <i/>
      <sz val="10"/>
      <color rgb="FFC00000"/>
      <name val="Arial Narrow"/>
      <family val="2"/>
    </font>
    <font>
      <sz val="10"/>
      <color rgb="FFC00000"/>
      <name val="Arial Narrow"/>
      <family val="2"/>
    </font>
    <font>
      <b/>
      <vertAlign val="superscript"/>
      <sz val="10"/>
      <color rgb="FFC00000"/>
      <name val="Arial Narrow"/>
      <family val="2"/>
    </font>
    <font>
      <i/>
      <vertAlign val="subscript"/>
      <sz val="10"/>
      <color indexed="8"/>
      <name val="Arial Narrow"/>
      <family val="2"/>
    </font>
    <font>
      <i/>
      <vertAlign val="superscript"/>
      <sz val="10"/>
      <color indexed="8"/>
      <name val="Arial Narrow"/>
      <family val="2"/>
    </font>
    <font>
      <i/>
      <vertAlign val="subscript"/>
      <sz val="10"/>
      <name val="Arial Narrow"/>
      <family val="2"/>
    </font>
    <font>
      <i/>
      <sz val="11"/>
      <color indexed="8"/>
      <name val="Arial Narrow"/>
      <family val="2"/>
    </font>
    <font>
      <i/>
      <vertAlign val="subscript"/>
      <sz val="11"/>
      <color indexed="8"/>
      <name val="Arial Narrow"/>
      <family val="2"/>
    </font>
    <font>
      <i/>
      <vertAlign val="superscript"/>
      <sz val="11"/>
      <color indexed="8"/>
      <name val="Arial Narrow"/>
      <family val="2"/>
    </font>
    <font>
      <i/>
      <vertAlign val="subscript"/>
      <sz val="11"/>
      <name val="Arial Narrow"/>
      <family val="2"/>
    </font>
    <font>
      <i/>
      <sz val="11"/>
      <name val="Arial Narrow"/>
      <family val="2"/>
    </font>
    <font>
      <vertAlign val="subscript"/>
      <sz val="10"/>
      <color rgb="FFC00000"/>
      <name val="Arial Narrow"/>
      <family val="2"/>
    </font>
    <font>
      <b/>
      <i/>
      <vertAlign val="subscript"/>
      <sz val="10"/>
      <color rgb="FFC00000"/>
      <name val="Arial Narrow"/>
      <family val="2"/>
    </font>
    <font>
      <i/>
      <sz val="10"/>
      <color rgb="FF002060"/>
      <name val="Arial Narrow"/>
      <family val="2"/>
    </font>
    <font>
      <i/>
      <sz val="10"/>
      <color rgb="FF0070C0"/>
      <name val="Arial Narrow"/>
      <family val="2"/>
    </font>
    <font>
      <b/>
      <sz val="11"/>
      <color rgb="FFC00000"/>
      <name val="Arial Narrow"/>
      <family val="2"/>
    </font>
    <font>
      <b/>
      <i/>
      <sz val="11"/>
      <color rgb="FFC00000"/>
      <name val="Arial Narrow"/>
      <family val="2"/>
    </font>
    <font>
      <b/>
      <i/>
      <vertAlign val="subscript"/>
      <sz val="11"/>
      <color rgb="FFC00000"/>
      <name val="Arial Narrow"/>
      <family val="2"/>
    </font>
    <font>
      <i/>
      <vertAlign val="subscript"/>
      <sz val="11"/>
      <color rgb="FF002060"/>
      <name val="Arial Narrow"/>
      <family val="2"/>
    </font>
    <font>
      <b/>
      <sz val="11"/>
      <name val="Arial Narrow"/>
      <family val="2"/>
    </font>
    <font>
      <b/>
      <sz val="11"/>
      <color rgb="FFFF0000"/>
      <name val="Arial Narrow"/>
      <family val="2"/>
    </font>
    <font>
      <i/>
      <vertAlign val="subscript"/>
      <sz val="10"/>
      <color rgb="FFC00000"/>
      <name val="Arial Narrow"/>
      <family val="2"/>
    </font>
    <font>
      <i/>
      <sz val="11"/>
      <color rgb="FFFF0000"/>
      <name val="Arial Narrow"/>
      <family val="2"/>
    </font>
    <font>
      <sz val="11"/>
      <color theme="0"/>
      <name val="Arial Narrow"/>
      <family val="2"/>
    </font>
    <font>
      <sz val="11"/>
      <color rgb="FFFF0000"/>
      <name val="Arial Narrow"/>
      <family val="2"/>
    </font>
  </fonts>
  <fills count="14">
    <fill>
      <patternFill patternType="none"/>
    </fill>
    <fill>
      <patternFill patternType="gray125"/>
    </fill>
    <fill>
      <patternFill patternType="solid">
        <fgColor theme="4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249977111117893"/>
        <bgColor indexed="64"/>
      </patternFill>
    </fill>
  </fills>
  <borders count="77">
    <border>
      <left/>
      <right/>
      <top/>
      <bottom/>
      <diagonal/>
    </border>
    <border>
      <left style="thick">
        <color rgb="FFC00000"/>
      </left>
      <right style="thin">
        <color rgb="FFC00000"/>
      </right>
      <top style="thick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ck">
        <color rgb="FFC00000"/>
      </top>
      <bottom style="thin">
        <color rgb="FFC00000"/>
      </bottom>
      <diagonal/>
    </border>
    <border>
      <left style="thin">
        <color rgb="FFC00000"/>
      </left>
      <right style="thick">
        <color rgb="FFC00000"/>
      </right>
      <top style="thick">
        <color rgb="FFC00000"/>
      </top>
      <bottom style="thin">
        <color rgb="FFC00000"/>
      </bottom>
      <diagonal/>
    </border>
    <border>
      <left style="thick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thick">
        <color rgb="FFC00000"/>
      </right>
      <top style="thin">
        <color rgb="FFC00000"/>
      </top>
      <bottom style="thin">
        <color rgb="FFC00000"/>
      </bottom>
      <diagonal/>
    </border>
    <border>
      <left style="thick">
        <color rgb="FFC00000"/>
      </left>
      <right style="thin">
        <color rgb="FFC00000"/>
      </right>
      <top style="thin">
        <color rgb="FFC00000"/>
      </top>
      <bottom style="thick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ck">
        <color rgb="FFC00000"/>
      </bottom>
      <diagonal/>
    </border>
    <border>
      <left style="thin">
        <color rgb="FFC00000"/>
      </left>
      <right style="thick">
        <color rgb="FFC00000"/>
      </right>
      <top style="thin">
        <color rgb="FFC00000"/>
      </top>
      <bottom style="thick">
        <color rgb="FFC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C00000"/>
      </right>
      <top style="medium">
        <color indexed="64"/>
      </top>
      <bottom/>
      <diagonal/>
    </border>
    <border>
      <left style="thin">
        <color rgb="FFC00000"/>
      </left>
      <right style="thin">
        <color rgb="FFC00000"/>
      </right>
      <top style="medium">
        <color indexed="64"/>
      </top>
      <bottom/>
      <diagonal/>
    </border>
    <border>
      <left style="thin">
        <color rgb="FFC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C00000"/>
      </right>
      <top style="medium">
        <color indexed="64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medium">
        <color indexed="64"/>
      </top>
      <bottom style="thin">
        <color rgb="FFC00000"/>
      </bottom>
      <diagonal/>
    </border>
    <border>
      <left style="thin">
        <color rgb="FFC00000"/>
      </left>
      <right style="medium">
        <color indexed="64"/>
      </right>
      <top style="medium">
        <color indexed="64"/>
      </top>
      <bottom style="thin">
        <color rgb="FFC00000"/>
      </bottom>
      <diagonal/>
    </border>
    <border>
      <left style="medium">
        <color indexed="64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medium">
        <color indexed="64"/>
      </right>
      <top style="thin">
        <color rgb="FFC00000"/>
      </top>
      <bottom style="thin">
        <color rgb="FFC00000"/>
      </bottom>
      <diagonal/>
    </border>
    <border>
      <left style="medium">
        <color indexed="64"/>
      </left>
      <right style="thin">
        <color rgb="FFC00000"/>
      </right>
      <top style="thin">
        <color rgb="FFC00000"/>
      </top>
      <bottom style="medium">
        <color indexed="64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medium">
        <color indexed="64"/>
      </bottom>
      <diagonal/>
    </border>
    <border>
      <left style="thin">
        <color rgb="FFC00000"/>
      </left>
      <right style="medium">
        <color indexed="64"/>
      </right>
      <top style="thin">
        <color rgb="FFC00000"/>
      </top>
      <bottom style="medium">
        <color indexed="64"/>
      </bottom>
      <diagonal/>
    </border>
    <border>
      <left style="medium">
        <color indexed="64"/>
      </left>
      <right style="thin">
        <color rgb="FFC00000"/>
      </right>
      <top/>
      <bottom style="thin">
        <color rgb="FFC00000"/>
      </bottom>
      <diagonal/>
    </border>
    <border>
      <left style="thin">
        <color rgb="FFC00000"/>
      </left>
      <right style="thin">
        <color rgb="FFC00000"/>
      </right>
      <top/>
      <bottom style="thin">
        <color rgb="FFC00000"/>
      </bottom>
      <diagonal/>
    </border>
    <border>
      <left style="thin">
        <color rgb="FFC00000"/>
      </left>
      <right style="medium">
        <color indexed="64"/>
      </right>
      <top/>
      <bottom style="thin">
        <color rgb="FFC00000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rgb="FF00CC00"/>
      </left>
      <right style="thin">
        <color rgb="FF00CC00"/>
      </right>
      <top style="thick">
        <color rgb="FF00CC00"/>
      </top>
      <bottom style="thin">
        <color rgb="FF00CC00"/>
      </bottom>
      <diagonal/>
    </border>
    <border>
      <left style="thin">
        <color rgb="FF00CC00"/>
      </left>
      <right style="thin">
        <color rgb="FF00CC00"/>
      </right>
      <top style="thick">
        <color rgb="FF00CC00"/>
      </top>
      <bottom style="thin">
        <color rgb="FF00CC00"/>
      </bottom>
      <diagonal/>
    </border>
    <border>
      <left style="thick">
        <color rgb="FF00CC00"/>
      </left>
      <right style="thin">
        <color rgb="FF00CC00"/>
      </right>
      <top style="thin">
        <color rgb="FF00CC00"/>
      </top>
      <bottom style="thin">
        <color rgb="FF00CC00"/>
      </bottom>
      <diagonal/>
    </border>
    <border>
      <left style="thin">
        <color rgb="FF00CC00"/>
      </left>
      <right style="thin">
        <color rgb="FF00CC00"/>
      </right>
      <top style="thin">
        <color rgb="FF00CC00"/>
      </top>
      <bottom style="thin">
        <color rgb="FF00CC00"/>
      </bottom>
      <diagonal/>
    </border>
    <border>
      <left style="thick">
        <color rgb="FF00CC00"/>
      </left>
      <right style="thin">
        <color rgb="FF00CC00"/>
      </right>
      <top style="thin">
        <color rgb="FF00CC00"/>
      </top>
      <bottom style="thick">
        <color rgb="FF00CC00"/>
      </bottom>
      <diagonal/>
    </border>
    <border>
      <left style="thin">
        <color rgb="FF00CC00"/>
      </left>
      <right style="thin">
        <color rgb="FF00CC00"/>
      </right>
      <top style="thin">
        <color rgb="FF00CC00"/>
      </top>
      <bottom style="thick">
        <color rgb="FF00CC00"/>
      </bottom>
      <diagonal/>
    </border>
    <border>
      <left style="thick">
        <color rgb="FF00B050"/>
      </left>
      <right style="thin">
        <color indexed="64"/>
      </right>
      <top style="thick">
        <color rgb="FF00B05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rgb="FF00B050"/>
      </top>
      <bottom style="thin">
        <color indexed="64"/>
      </bottom>
      <diagonal/>
    </border>
    <border>
      <left style="thin">
        <color indexed="64"/>
      </left>
      <right style="thick">
        <color rgb="FF00B050"/>
      </right>
      <top style="thick">
        <color rgb="FF00B050"/>
      </top>
      <bottom style="thin">
        <color indexed="64"/>
      </bottom>
      <diagonal/>
    </border>
    <border>
      <left style="thick">
        <color rgb="FF00B050"/>
      </left>
      <right/>
      <top/>
      <bottom/>
      <diagonal/>
    </border>
    <border>
      <left/>
      <right style="thick">
        <color rgb="FF00B050"/>
      </right>
      <top/>
      <bottom/>
      <diagonal/>
    </border>
    <border>
      <left style="thin">
        <color rgb="FF00CC00"/>
      </left>
      <right style="thick">
        <color rgb="FF00B050"/>
      </right>
      <top style="thick">
        <color rgb="FF00CC00"/>
      </top>
      <bottom style="thin">
        <color rgb="FF00CC00"/>
      </bottom>
      <diagonal/>
    </border>
    <border>
      <left style="thin">
        <color rgb="FF00CC00"/>
      </left>
      <right style="thick">
        <color rgb="FF00B050"/>
      </right>
      <top style="thin">
        <color rgb="FF00CC00"/>
      </top>
      <bottom style="thin">
        <color rgb="FF00CC00"/>
      </bottom>
      <diagonal/>
    </border>
    <border>
      <left style="thin">
        <color rgb="FF00CC00"/>
      </left>
      <right style="thick">
        <color rgb="FF00B050"/>
      </right>
      <top style="thin">
        <color rgb="FF00CC00"/>
      </top>
      <bottom style="thick">
        <color rgb="FF00CC00"/>
      </bottom>
      <diagonal/>
    </border>
    <border>
      <left style="thick">
        <color rgb="FF00B050"/>
      </left>
      <right/>
      <top/>
      <bottom style="thick">
        <color rgb="FF00B050"/>
      </bottom>
      <diagonal/>
    </border>
    <border>
      <left/>
      <right/>
      <top/>
      <bottom style="thick">
        <color rgb="FF00B050"/>
      </bottom>
      <diagonal/>
    </border>
    <border>
      <left/>
      <right style="thick">
        <color rgb="FF00B050"/>
      </right>
      <top/>
      <bottom style="thick">
        <color rgb="FF00B050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6" tint="-0.24994659260841701"/>
      </left>
      <right style="thin">
        <color theme="6" tint="-0.24994659260841701"/>
      </right>
      <top style="thin">
        <color theme="6" tint="-0.24994659260841701"/>
      </top>
      <bottom style="thin">
        <color theme="6" tint="-0.24994659260841701"/>
      </bottom>
      <diagonal/>
    </border>
    <border>
      <left style="thin">
        <color theme="7" tint="-0.24994659260841701"/>
      </left>
      <right style="thin">
        <color theme="7" tint="-0.24994659260841701"/>
      </right>
      <top style="thin">
        <color theme="7" tint="-0.24994659260841701"/>
      </top>
      <bottom style="thin">
        <color theme="7" tint="-0.24994659260841701"/>
      </bottom>
      <diagonal/>
    </border>
    <border>
      <left style="thin">
        <color rgb="FFCC66FF"/>
      </left>
      <right style="thin">
        <color rgb="FFCC66FF"/>
      </right>
      <top style="thin">
        <color rgb="FFCC66FF"/>
      </top>
      <bottom style="thin">
        <color rgb="FFCC66FF"/>
      </bottom>
      <diagonal/>
    </border>
  </borders>
  <cellStyleXfs count="6">
    <xf numFmtId="0" fontId="0" fillId="0" borderId="0"/>
    <xf numFmtId="0" fontId="4" fillId="2" borderId="0" applyNumberFormat="0" applyBorder="0" applyAlignment="0" applyProtection="0"/>
    <xf numFmtId="0" fontId="3" fillId="0" borderId="0"/>
    <xf numFmtId="0" fontId="1" fillId="0" borderId="0"/>
    <xf numFmtId="0" fontId="8" fillId="0" borderId="0"/>
    <xf numFmtId="0" fontId="10" fillId="0" borderId="0"/>
  </cellStyleXfs>
  <cellXfs count="444">
    <xf numFmtId="0" fontId="0" fillId="0" borderId="0" xfId="0"/>
    <xf numFmtId="0" fontId="11" fillId="6" borderId="0" xfId="0" applyFont="1" applyFill="1"/>
    <xf numFmtId="0" fontId="12" fillId="6" borderId="10" xfId="5" applyFont="1" applyFill="1" applyBorder="1"/>
    <xf numFmtId="0" fontId="10" fillId="6" borderId="0" xfId="5" applyFill="1"/>
    <xf numFmtId="166" fontId="12" fillId="6" borderId="10" xfId="5" applyNumberFormat="1" applyFont="1" applyFill="1" applyBorder="1"/>
    <xf numFmtId="166" fontId="12" fillId="6" borderId="51" xfId="5" applyNumberFormat="1" applyFont="1" applyFill="1" applyBorder="1"/>
    <xf numFmtId="166" fontId="12" fillId="6" borderId="52" xfId="5" applyNumberFormat="1" applyFont="1" applyFill="1" applyBorder="1"/>
    <xf numFmtId="166" fontId="12" fillId="6" borderId="50" xfId="5" applyNumberFormat="1" applyFont="1" applyFill="1" applyBorder="1"/>
    <xf numFmtId="166" fontId="12" fillId="6" borderId="53" xfId="5" applyNumberFormat="1" applyFont="1" applyFill="1" applyBorder="1"/>
    <xf numFmtId="166" fontId="12" fillId="6" borderId="26" xfId="5" applyNumberFormat="1" applyFont="1" applyFill="1" applyBorder="1"/>
    <xf numFmtId="166" fontId="12" fillId="6" borderId="49" xfId="5" applyNumberFormat="1" applyFont="1" applyFill="1" applyBorder="1"/>
    <xf numFmtId="0" fontId="10" fillId="6" borderId="10" xfId="5" applyFill="1" applyBorder="1" applyAlignment="1">
      <alignment horizontal="center" vertical="center"/>
    </xf>
    <xf numFmtId="0" fontId="10" fillId="6" borderId="10" xfId="5" applyFill="1" applyBorder="1"/>
    <xf numFmtId="0" fontId="10" fillId="6" borderId="0" xfId="5" applyFill="1" applyBorder="1"/>
    <xf numFmtId="0" fontId="10" fillId="6" borderId="14" xfId="5" applyFill="1" applyBorder="1" applyAlignment="1">
      <alignment horizontal="center" vertical="center"/>
    </xf>
    <xf numFmtId="0" fontId="5" fillId="6" borderId="0" xfId="5" applyFont="1" applyFill="1" applyBorder="1" applyAlignment="1"/>
    <xf numFmtId="2" fontId="10" fillId="6" borderId="22" xfId="5" applyNumberFormat="1" applyFill="1" applyBorder="1" applyAlignment="1">
      <alignment horizontal="left" vertical="center"/>
    </xf>
    <xf numFmtId="2" fontId="10" fillId="6" borderId="25" xfId="5" applyNumberFormat="1" applyFill="1" applyBorder="1" applyAlignment="1">
      <alignment horizontal="left" vertical="center"/>
    </xf>
    <xf numFmtId="2" fontId="10" fillId="6" borderId="0" xfId="5" applyNumberFormat="1" applyFill="1" applyBorder="1" applyAlignment="1">
      <alignment horizontal="left" vertical="center"/>
    </xf>
    <xf numFmtId="1" fontId="10" fillId="6" borderId="10" xfId="5" applyNumberFormat="1" applyFill="1" applyBorder="1" applyAlignment="1">
      <alignment horizontal="center" vertical="center"/>
    </xf>
    <xf numFmtId="166" fontId="10" fillId="6" borderId="22" xfId="5" applyNumberFormat="1" applyFill="1" applyBorder="1" applyAlignment="1">
      <alignment horizontal="right" vertical="center"/>
    </xf>
    <xf numFmtId="166" fontId="10" fillId="6" borderId="25" xfId="5" applyNumberFormat="1" applyFill="1" applyBorder="1" applyAlignment="1">
      <alignment horizontal="right" vertical="center"/>
    </xf>
    <xf numFmtId="2" fontId="10" fillId="6" borderId="24" xfId="5" applyNumberFormat="1" applyFill="1" applyBorder="1" applyAlignment="1">
      <alignment horizontal="left" vertical="center"/>
    </xf>
    <xf numFmtId="2" fontId="10" fillId="6" borderId="12" xfId="5" applyNumberFormat="1" applyFill="1" applyBorder="1" applyAlignment="1">
      <alignment horizontal="left" vertical="center"/>
    </xf>
    <xf numFmtId="166" fontId="12" fillId="6" borderId="54" xfId="5" applyNumberFormat="1" applyFont="1" applyFill="1" applyBorder="1"/>
    <xf numFmtId="166" fontId="12" fillId="6" borderId="55" xfId="5" applyNumberFormat="1" applyFont="1" applyFill="1" applyBorder="1"/>
    <xf numFmtId="0" fontId="10" fillId="6" borderId="12" xfId="5" applyFill="1" applyBorder="1" applyAlignment="1">
      <alignment horizontal="center" vertical="center"/>
    </xf>
    <xf numFmtId="0" fontId="9" fillId="6" borderId="10" xfId="5" applyFont="1" applyFill="1" applyBorder="1" applyAlignment="1">
      <alignment horizontal="center" vertical="center"/>
    </xf>
    <xf numFmtId="166" fontId="11" fillId="6" borderId="12" xfId="0" applyNumberFormat="1" applyFont="1" applyFill="1" applyBorder="1"/>
    <xf numFmtId="166" fontId="10" fillId="6" borderId="12" xfId="5" applyNumberFormat="1" applyFill="1" applyBorder="1" applyAlignment="1">
      <alignment horizontal="center" vertical="center"/>
    </xf>
    <xf numFmtId="0" fontId="10" fillId="6" borderId="12" xfId="5" applyFill="1" applyBorder="1"/>
    <xf numFmtId="166" fontId="10" fillId="6" borderId="12" xfId="5" applyNumberFormat="1" applyFill="1" applyBorder="1"/>
    <xf numFmtId="166" fontId="10" fillId="6" borderId="10" xfId="5" applyNumberFormat="1" applyFill="1" applyBorder="1" applyAlignment="1">
      <alignment horizontal="right" vertical="center"/>
    </xf>
    <xf numFmtId="2" fontId="10" fillId="6" borderId="0" xfId="5" applyNumberFormat="1" applyFill="1" applyBorder="1" applyAlignment="1">
      <alignment horizontal="center" vertical="center"/>
    </xf>
    <xf numFmtId="0" fontId="10" fillId="4" borderId="0" xfId="5" applyFill="1"/>
    <xf numFmtId="0" fontId="10" fillId="6" borderId="25" xfId="5" applyFill="1" applyBorder="1" applyAlignment="1">
      <alignment horizontal="center" vertical="center"/>
    </xf>
    <xf numFmtId="0" fontId="10" fillId="6" borderId="0" xfId="5" applyFill="1" applyAlignment="1">
      <alignment horizontal="center" vertical="center"/>
    </xf>
    <xf numFmtId="2" fontId="10" fillId="6" borderId="25" xfId="5" applyNumberFormat="1" applyFill="1" applyBorder="1" applyAlignment="1">
      <alignment horizontal="center" vertical="center"/>
    </xf>
    <xf numFmtId="0" fontId="10" fillId="6" borderId="0" xfId="5" applyFill="1" applyBorder="1" applyAlignment="1">
      <alignment horizontal="center" vertical="center"/>
    </xf>
    <xf numFmtId="166" fontId="10" fillId="6" borderId="0" xfId="5" applyNumberFormat="1" applyFill="1" applyBorder="1" applyAlignment="1">
      <alignment horizontal="center"/>
    </xf>
    <xf numFmtId="0" fontId="5" fillId="6" borderId="0" xfId="5" applyFont="1" applyFill="1" applyBorder="1" applyAlignment="1">
      <alignment vertical="center"/>
    </xf>
    <xf numFmtId="164" fontId="10" fillId="6" borderId="10" xfId="5" applyNumberFormat="1" applyFill="1" applyBorder="1"/>
    <xf numFmtId="0" fontId="12" fillId="6" borderId="13" xfId="0" applyFont="1" applyFill="1" applyBorder="1"/>
    <xf numFmtId="0" fontId="12" fillId="6" borderId="41" xfId="0" applyFont="1" applyFill="1" applyBorder="1"/>
    <xf numFmtId="0" fontId="12" fillId="6" borderId="42" xfId="0" applyFont="1" applyFill="1" applyBorder="1"/>
    <xf numFmtId="0" fontId="11" fillId="6" borderId="43" xfId="0" applyFont="1" applyFill="1" applyBorder="1"/>
    <xf numFmtId="0" fontId="12" fillId="6" borderId="0" xfId="0" applyFont="1" applyFill="1" applyBorder="1"/>
    <xf numFmtId="0" fontId="12" fillId="6" borderId="44" xfId="0" applyFont="1" applyFill="1" applyBorder="1"/>
    <xf numFmtId="4" fontId="12" fillId="6" borderId="43" xfId="0" applyNumberFormat="1" applyFont="1" applyFill="1" applyBorder="1"/>
    <xf numFmtId="4" fontId="12" fillId="6" borderId="0" xfId="0" applyNumberFormat="1" applyFont="1" applyFill="1" applyBorder="1"/>
    <xf numFmtId="4" fontId="12" fillId="6" borderId="0" xfId="0" applyNumberFormat="1" applyFont="1" applyFill="1" applyBorder="1" applyAlignment="1">
      <alignment horizontal="center"/>
    </xf>
    <xf numFmtId="0" fontId="13" fillId="6" borderId="0" xfId="0" applyFont="1" applyFill="1" applyBorder="1" applyAlignment="1">
      <alignment horizontal="center"/>
    </xf>
    <xf numFmtId="4" fontId="12" fillId="6" borderId="0" xfId="0" applyNumberFormat="1" applyFont="1" applyFill="1" applyBorder="1" applyAlignment="1">
      <alignment horizontal="left"/>
    </xf>
    <xf numFmtId="4" fontId="12" fillId="6" borderId="43" xfId="0" applyNumberFormat="1" applyFont="1" applyFill="1" applyBorder="1" applyAlignment="1"/>
    <xf numFmtId="4" fontId="12" fillId="6" borderId="0" xfId="0" applyNumberFormat="1" applyFont="1" applyFill="1" applyBorder="1" applyAlignment="1"/>
    <xf numFmtId="0" fontId="13" fillId="6" borderId="0" xfId="0" applyFont="1" applyFill="1" applyBorder="1" applyAlignment="1">
      <alignment horizontal="center" vertical="center"/>
    </xf>
    <xf numFmtId="3" fontId="12" fillId="6" borderId="0" xfId="0" applyNumberFormat="1" applyFont="1" applyFill="1" applyBorder="1" applyAlignment="1">
      <alignment horizontal="center"/>
    </xf>
    <xf numFmtId="170" fontId="12" fillId="6" borderId="0" xfId="0" applyNumberFormat="1" applyFont="1" applyFill="1" applyBorder="1" applyAlignment="1">
      <alignment horizontal="center"/>
    </xf>
    <xf numFmtId="0" fontId="11" fillId="6" borderId="15" xfId="0" applyFont="1" applyFill="1" applyBorder="1"/>
    <xf numFmtId="0" fontId="12" fillId="6" borderId="45" xfId="0" applyFont="1" applyFill="1" applyBorder="1"/>
    <xf numFmtId="0" fontId="12" fillId="6" borderId="46" xfId="0" applyFont="1" applyFill="1" applyBorder="1"/>
    <xf numFmtId="4" fontId="12" fillId="3" borderId="0" xfId="0" applyNumberFormat="1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0" fontId="12" fillId="3" borderId="41" xfId="0" applyFont="1" applyFill="1" applyBorder="1" applyAlignment="1">
      <alignment horizontal="center" vertical="center"/>
    </xf>
    <xf numFmtId="2" fontId="12" fillId="3" borderId="0" xfId="0" applyNumberFormat="1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left" vertical="center"/>
    </xf>
    <xf numFmtId="2" fontId="12" fillId="3" borderId="0" xfId="0" applyNumberFormat="1" applyFont="1" applyFill="1" applyBorder="1" applyAlignment="1">
      <alignment horizontal="left" vertical="center"/>
    </xf>
    <xf numFmtId="0" fontId="14" fillId="6" borderId="0" xfId="2" applyFont="1" applyFill="1"/>
    <xf numFmtId="0" fontId="11" fillId="6" borderId="0" xfId="2" applyFont="1" applyFill="1"/>
    <xf numFmtId="0" fontId="18" fillId="6" borderId="0" xfId="0" applyFont="1" applyFill="1" applyBorder="1" applyAlignment="1"/>
    <xf numFmtId="0" fontId="17" fillId="6" borderId="0" xfId="2" applyFont="1" applyFill="1" applyBorder="1"/>
    <xf numFmtId="0" fontId="20" fillId="6" borderId="0" xfId="2" applyFont="1" applyFill="1" applyBorder="1"/>
    <xf numFmtId="0" fontId="12" fillId="6" borderId="0" xfId="0" applyFont="1" applyFill="1"/>
    <xf numFmtId="0" fontId="19" fillId="6" borderId="0" xfId="2" applyFont="1" applyFill="1" applyBorder="1"/>
    <xf numFmtId="0" fontId="14" fillId="6" borderId="0" xfId="2" applyFont="1" applyFill="1" applyBorder="1"/>
    <xf numFmtId="0" fontId="21" fillId="6" borderId="0" xfId="2" applyFont="1" applyFill="1" applyBorder="1"/>
    <xf numFmtId="0" fontId="21" fillId="6" borderId="0" xfId="2" applyFont="1" applyFill="1" applyBorder="1" applyAlignment="1">
      <alignment horizontal="center"/>
    </xf>
    <xf numFmtId="2" fontId="14" fillId="6" borderId="0" xfId="2" applyNumberFormat="1" applyFont="1" applyFill="1" applyBorder="1" applyAlignment="1">
      <alignment horizontal="center"/>
    </xf>
    <xf numFmtId="0" fontId="11" fillId="6" borderId="0" xfId="2" applyFont="1" applyFill="1" applyBorder="1"/>
    <xf numFmtId="0" fontId="11" fillId="6" borderId="19" xfId="2" applyFont="1" applyFill="1" applyBorder="1"/>
    <xf numFmtId="167" fontId="14" fillId="6" borderId="0" xfId="2" applyNumberFormat="1" applyFont="1" applyFill="1" applyBorder="1" applyAlignment="1">
      <alignment horizontal="center"/>
    </xf>
    <xf numFmtId="0" fontId="14" fillId="6" borderId="0" xfId="2" applyFont="1" applyFill="1" applyBorder="1" applyAlignment="1">
      <alignment horizontal="center"/>
    </xf>
    <xf numFmtId="0" fontId="14" fillId="6" borderId="0" xfId="2" applyFont="1" applyFill="1" applyBorder="1" applyAlignment="1">
      <alignment horizontal="right"/>
    </xf>
    <xf numFmtId="2" fontId="14" fillId="6" borderId="0" xfId="2" applyNumberFormat="1" applyFont="1" applyFill="1" applyBorder="1"/>
    <xf numFmtId="2" fontId="14" fillId="6" borderId="0" xfId="2" applyNumberFormat="1" applyFont="1" applyFill="1"/>
    <xf numFmtId="0" fontId="14" fillId="6" borderId="0" xfId="2" applyFont="1" applyFill="1" applyAlignment="1">
      <alignment horizontal="right"/>
    </xf>
    <xf numFmtId="0" fontId="24" fillId="6" borderId="12" xfId="2" applyFont="1" applyFill="1" applyBorder="1" applyAlignment="1">
      <alignment horizontal="center"/>
    </xf>
    <xf numFmtId="0" fontId="25" fillId="6" borderId="12" xfId="2" applyFont="1" applyFill="1" applyBorder="1" applyAlignment="1">
      <alignment horizontal="center"/>
    </xf>
    <xf numFmtId="2" fontId="26" fillId="6" borderId="12" xfId="2" applyNumberFormat="1" applyFont="1" applyFill="1" applyBorder="1" applyAlignment="1">
      <alignment horizontal="center"/>
    </xf>
    <xf numFmtId="166" fontId="26" fillId="6" borderId="12" xfId="2" applyNumberFormat="1" applyFont="1" applyFill="1" applyBorder="1" applyAlignment="1">
      <alignment horizontal="center"/>
    </xf>
    <xf numFmtId="2" fontId="27" fillId="6" borderId="0" xfId="2" applyNumberFormat="1" applyFont="1" applyFill="1" applyBorder="1" applyAlignment="1">
      <alignment horizontal="center"/>
    </xf>
    <xf numFmtId="166" fontId="27" fillId="6" borderId="0" xfId="2" applyNumberFormat="1" applyFont="1" applyFill="1" applyBorder="1" applyAlignment="1">
      <alignment horizontal="center"/>
    </xf>
    <xf numFmtId="0" fontId="27" fillId="6" borderId="0" xfId="2" applyFont="1" applyFill="1" applyBorder="1" applyAlignment="1">
      <alignment horizontal="center"/>
    </xf>
    <xf numFmtId="2" fontId="27" fillId="6" borderId="12" xfId="2" applyNumberFormat="1" applyFont="1" applyFill="1" applyBorder="1" applyAlignment="1">
      <alignment horizontal="center"/>
    </xf>
    <xf numFmtId="166" fontId="27" fillId="6" borderId="12" xfId="2" applyNumberFormat="1" applyFont="1" applyFill="1" applyBorder="1" applyAlignment="1">
      <alignment horizontal="center"/>
    </xf>
    <xf numFmtId="0" fontId="14" fillId="6" borderId="0" xfId="2" applyFont="1" applyFill="1" applyBorder="1" applyAlignment="1"/>
    <xf numFmtId="0" fontId="32" fillId="6" borderId="0" xfId="2" applyFont="1" applyFill="1" applyBorder="1"/>
    <xf numFmtId="0" fontId="33" fillId="6" borderId="0" xfId="0" applyFont="1" applyFill="1" applyBorder="1" applyAlignment="1">
      <alignment horizontal="left" indent="15"/>
    </xf>
    <xf numFmtId="0" fontId="33" fillId="6" borderId="0" xfId="0" applyFont="1" applyFill="1" applyBorder="1"/>
    <xf numFmtId="0" fontId="32" fillId="6" borderId="0" xfId="2" applyFont="1" applyFill="1" applyBorder="1" applyAlignment="1">
      <alignment horizontal="justify"/>
    </xf>
    <xf numFmtId="0" fontId="34" fillId="6" borderId="0" xfId="0" applyFont="1" applyFill="1" applyBorder="1"/>
    <xf numFmtId="0" fontId="14" fillId="6" borderId="0" xfId="2" applyFont="1" applyFill="1" applyBorder="1" applyAlignment="1">
      <alignment horizontal="left"/>
    </xf>
    <xf numFmtId="0" fontId="12" fillId="6" borderId="0" xfId="0" applyFont="1" applyFill="1" applyBorder="1" applyAlignment="1"/>
    <xf numFmtId="0" fontId="27" fillId="6" borderId="0" xfId="2" applyFont="1" applyFill="1"/>
    <xf numFmtId="0" fontId="16" fillId="6" borderId="0" xfId="0" applyFont="1" applyFill="1" applyBorder="1" applyAlignment="1"/>
    <xf numFmtId="0" fontId="37" fillId="6" borderId="0" xfId="0" applyFont="1" applyFill="1" applyBorder="1" applyAlignment="1"/>
    <xf numFmtId="0" fontId="17" fillId="6" borderId="12" xfId="0" applyFont="1" applyFill="1" applyBorder="1" applyAlignment="1">
      <alignment horizontal="center"/>
    </xf>
    <xf numFmtId="1" fontId="17" fillId="6" borderId="12" xfId="0" applyNumberFormat="1" applyFont="1" applyFill="1" applyBorder="1" applyAlignment="1">
      <alignment horizontal="center"/>
    </xf>
    <xf numFmtId="0" fontId="38" fillId="6" borderId="0" xfId="0" applyFont="1" applyFill="1" applyBorder="1" applyAlignment="1">
      <alignment horizontal="right" vertical="center"/>
    </xf>
    <xf numFmtId="166" fontId="11" fillId="3" borderId="12" xfId="2" applyNumberFormat="1" applyFont="1" applyFill="1" applyBorder="1" applyAlignment="1">
      <alignment horizontal="right" vertical="center"/>
    </xf>
    <xf numFmtId="0" fontId="39" fillId="6" borderId="0" xfId="0" applyFont="1" applyFill="1" applyBorder="1" applyAlignment="1">
      <alignment horizontal="justify"/>
    </xf>
    <xf numFmtId="0" fontId="19" fillId="6" borderId="0" xfId="0" applyFont="1" applyFill="1" applyBorder="1" applyAlignment="1"/>
    <xf numFmtId="0" fontId="38" fillId="6" borderId="0" xfId="0" applyFont="1" applyFill="1" applyBorder="1" applyAlignment="1"/>
    <xf numFmtId="0" fontId="44" fillId="6" borderId="0" xfId="0" applyFont="1" applyFill="1" applyBorder="1" applyAlignment="1">
      <alignment horizontal="left"/>
    </xf>
    <xf numFmtId="0" fontId="45" fillId="6" borderId="47" xfId="2" applyFont="1" applyFill="1" applyBorder="1" applyAlignment="1">
      <alignment horizontal="right"/>
    </xf>
    <xf numFmtId="0" fontId="45" fillId="6" borderId="17" xfId="2" applyFont="1" applyFill="1" applyBorder="1"/>
    <xf numFmtId="0" fontId="45" fillId="6" borderId="20" xfId="2" applyFont="1" applyFill="1" applyBorder="1" applyAlignment="1">
      <alignment horizontal="right"/>
    </xf>
    <xf numFmtId="0" fontId="45" fillId="6" borderId="22" xfId="2" applyFont="1" applyFill="1" applyBorder="1"/>
    <xf numFmtId="0" fontId="45" fillId="6" borderId="26" xfId="2" applyFont="1" applyFill="1" applyBorder="1" applyAlignment="1">
      <alignment horizontal="right"/>
    </xf>
    <xf numFmtId="0" fontId="45" fillId="6" borderId="24" xfId="2" applyFont="1" applyFill="1" applyBorder="1"/>
    <xf numFmtId="2" fontId="14" fillId="10" borderId="12" xfId="2" applyNumberFormat="1" applyFont="1" applyFill="1" applyBorder="1" applyAlignment="1">
      <alignment horizontal="center"/>
    </xf>
    <xf numFmtId="2" fontId="16" fillId="6" borderId="0" xfId="2" applyNumberFormat="1" applyFont="1" applyFill="1" applyBorder="1" applyAlignment="1"/>
    <xf numFmtId="0" fontId="47" fillId="6" borderId="0" xfId="2" applyFont="1" applyFill="1" applyBorder="1"/>
    <xf numFmtId="0" fontId="14" fillId="6" borderId="0" xfId="2" applyFont="1" applyFill="1" applyBorder="1" applyAlignment="1">
      <alignment horizontal="right" vertical="center"/>
    </xf>
    <xf numFmtId="0" fontId="45" fillId="6" borderId="0" xfId="0" applyFont="1" applyFill="1" applyBorder="1"/>
    <xf numFmtId="0" fontId="48" fillId="6" borderId="12" xfId="2" applyFont="1" applyFill="1" applyBorder="1" applyAlignment="1">
      <alignment horizontal="center" vertical="center"/>
    </xf>
    <xf numFmtId="0" fontId="28" fillId="6" borderId="0" xfId="0" applyFont="1" applyFill="1" applyBorder="1" applyAlignment="1"/>
    <xf numFmtId="0" fontId="42" fillId="6" borderId="0" xfId="0" applyFont="1" applyFill="1" applyBorder="1" applyAlignment="1"/>
    <xf numFmtId="0" fontId="54" fillId="6" borderId="0" xfId="2" applyFont="1" applyFill="1" applyBorder="1"/>
    <xf numFmtId="2" fontId="11" fillId="3" borderId="12" xfId="2" applyNumberFormat="1" applyFont="1" applyFill="1" applyBorder="1" applyAlignment="1">
      <alignment horizontal="right" vertical="center"/>
    </xf>
    <xf numFmtId="2" fontId="11" fillId="10" borderId="0" xfId="2" applyNumberFormat="1" applyFont="1" applyFill="1" applyBorder="1" applyAlignment="1">
      <alignment horizontal="right" vertical="center"/>
    </xf>
    <xf numFmtId="2" fontId="11" fillId="6" borderId="0" xfId="2" applyNumberFormat="1" applyFont="1" applyFill="1" applyBorder="1" applyAlignment="1">
      <alignment horizontal="right" vertical="center"/>
    </xf>
    <xf numFmtId="0" fontId="19" fillId="6" borderId="12" xfId="0" applyFont="1" applyFill="1" applyBorder="1" applyAlignment="1">
      <alignment horizontal="center" vertical="center"/>
    </xf>
    <xf numFmtId="0" fontId="12" fillId="6" borderId="26" xfId="0" applyFont="1" applyFill="1" applyBorder="1" applyAlignment="1"/>
    <xf numFmtId="0" fontId="12" fillId="6" borderId="23" xfId="0" applyFont="1" applyFill="1" applyBorder="1" applyAlignment="1"/>
    <xf numFmtId="0" fontId="11" fillId="6" borderId="23" xfId="2" applyFont="1" applyFill="1" applyBorder="1"/>
    <xf numFmtId="0" fontId="11" fillId="6" borderId="24" xfId="2" applyFont="1" applyFill="1" applyBorder="1"/>
    <xf numFmtId="0" fontId="31" fillId="6" borderId="26" xfId="0" applyFont="1" applyFill="1" applyBorder="1" applyAlignment="1"/>
    <xf numFmtId="0" fontId="14" fillId="6" borderId="23" xfId="2" applyFont="1" applyFill="1" applyBorder="1" applyAlignment="1"/>
    <xf numFmtId="0" fontId="40" fillId="6" borderId="0" xfId="0" applyFont="1" applyFill="1" applyBorder="1" applyAlignment="1"/>
    <xf numFmtId="0" fontId="45" fillId="6" borderId="0" xfId="0" applyFont="1" applyFill="1" applyBorder="1" applyAlignment="1"/>
    <xf numFmtId="0" fontId="62" fillId="6" borderId="0" xfId="0" applyFont="1" applyFill="1" applyBorder="1" applyAlignment="1"/>
    <xf numFmtId="0" fontId="36" fillId="6" borderId="0" xfId="0" applyFont="1" applyFill="1" applyBorder="1"/>
    <xf numFmtId="0" fontId="44" fillId="6" borderId="12" xfId="2" applyFont="1" applyFill="1" applyBorder="1" applyAlignment="1">
      <alignment horizontal="center" vertical="center"/>
    </xf>
    <xf numFmtId="0" fontId="47" fillId="6" borderId="0" xfId="2" applyFont="1" applyFill="1" applyBorder="1" applyAlignment="1">
      <alignment horizontal="right"/>
    </xf>
    <xf numFmtId="0" fontId="44" fillId="6" borderId="0" xfId="0" applyFont="1" applyFill="1" applyBorder="1" applyAlignment="1">
      <alignment horizontal="center" vertical="center"/>
    </xf>
    <xf numFmtId="2" fontId="11" fillId="11" borderId="12" xfId="2" applyNumberFormat="1" applyFont="1" applyFill="1" applyBorder="1" applyAlignment="1">
      <alignment horizontal="right" vertical="center"/>
    </xf>
    <xf numFmtId="0" fontId="14" fillId="6" borderId="24" xfId="2" applyFont="1" applyFill="1" applyBorder="1" applyAlignment="1">
      <alignment horizontal="center" vertical="center"/>
    </xf>
    <xf numFmtId="0" fontId="64" fillId="6" borderId="26" xfId="2" applyFont="1" applyFill="1" applyBorder="1" applyAlignment="1">
      <alignment horizontal="left" vertical="center" indent="1"/>
    </xf>
    <xf numFmtId="0" fontId="39" fillId="6" borderId="0" xfId="0" applyFont="1" applyFill="1" applyBorder="1" applyAlignment="1">
      <alignment horizontal="right" vertical="center"/>
    </xf>
    <xf numFmtId="2" fontId="39" fillId="6" borderId="0" xfId="2" applyNumberFormat="1" applyFont="1" applyFill="1" applyBorder="1" applyAlignment="1">
      <alignment horizontal="left" vertical="center"/>
    </xf>
    <xf numFmtId="0" fontId="61" fillId="6" borderId="0" xfId="0" applyFont="1" applyFill="1" applyBorder="1"/>
    <xf numFmtId="0" fontId="11" fillId="13" borderId="0" xfId="2" applyFont="1" applyFill="1" applyBorder="1"/>
    <xf numFmtId="0" fontId="34" fillId="6" borderId="0" xfId="0" applyFont="1" applyFill="1" applyBorder="1" applyAlignment="1">
      <alignment horizontal="right" vertical="center"/>
    </xf>
    <xf numFmtId="0" fontId="12" fillId="6" borderId="0" xfId="0" applyFont="1" applyFill="1" applyBorder="1" applyAlignment="1">
      <alignment horizontal="right" vertical="center"/>
    </xf>
    <xf numFmtId="0" fontId="64" fillId="6" borderId="26" xfId="0" applyFont="1" applyFill="1" applyBorder="1" applyAlignment="1">
      <alignment horizontal="left" indent="1"/>
    </xf>
    <xf numFmtId="0" fontId="42" fillId="6" borderId="24" xfId="0" applyFont="1" applyFill="1" applyBorder="1" applyAlignment="1">
      <alignment horizontal="left" indent="1"/>
    </xf>
    <xf numFmtId="0" fontId="70" fillId="6" borderId="0" xfId="0" applyFont="1" applyFill="1" applyBorder="1" applyAlignment="1">
      <alignment horizontal="justify"/>
    </xf>
    <xf numFmtId="0" fontId="64" fillId="6" borderId="12" xfId="0" applyFont="1" applyFill="1" applyBorder="1" applyAlignment="1">
      <alignment horizontal="center" vertical="center"/>
    </xf>
    <xf numFmtId="0" fontId="34" fillId="6" borderId="76" xfId="0" applyFont="1" applyFill="1" applyBorder="1" applyAlignment="1">
      <alignment horizontal="center"/>
    </xf>
    <xf numFmtId="0" fontId="34" fillId="6" borderId="0" xfId="0" applyFont="1" applyFill="1"/>
    <xf numFmtId="0" fontId="35" fillId="6" borderId="0" xfId="0" applyFont="1" applyFill="1" applyAlignment="1">
      <alignment horizontal="center"/>
    </xf>
    <xf numFmtId="0" fontId="63" fillId="6" borderId="0" xfId="0" applyFont="1" applyFill="1" applyAlignment="1">
      <alignment horizontal="right"/>
    </xf>
    <xf numFmtId="0" fontId="35" fillId="6" borderId="0" xfId="0" applyFont="1" applyFill="1"/>
    <xf numFmtId="0" fontId="67" fillId="6" borderId="0" xfId="0" applyFont="1" applyFill="1"/>
    <xf numFmtId="166" fontId="34" fillId="6" borderId="0" xfId="0" applyNumberFormat="1" applyFont="1" applyFill="1"/>
    <xf numFmtId="0" fontId="67" fillId="6" borderId="76" xfId="0" applyFont="1" applyFill="1" applyBorder="1"/>
    <xf numFmtId="2" fontId="34" fillId="6" borderId="76" xfId="0" applyNumberFormat="1" applyFont="1" applyFill="1" applyBorder="1" applyAlignment="1">
      <alignment horizontal="center"/>
    </xf>
    <xf numFmtId="0" fontId="71" fillId="6" borderId="0" xfId="0" applyFont="1" applyFill="1"/>
    <xf numFmtId="166" fontId="71" fillId="6" borderId="0" xfId="0" applyNumberFormat="1" applyFont="1" applyFill="1"/>
    <xf numFmtId="164" fontId="34" fillId="6" borderId="76" xfId="0" applyNumberFormat="1" applyFont="1" applyFill="1" applyBorder="1" applyAlignment="1">
      <alignment horizontal="center"/>
    </xf>
    <xf numFmtId="1" fontId="71" fillId="6" borderId="0" xfId="0" applyNumberFormat="1" applyFont="1" applyFill="1"/>
    <xf numFmtId="166" fontId="34" fillId="6" borderId="76" xfId="0" applyNumberFormat="1" applyFont="1" applyFill="1" applyBorder="1" applyAlignment="1">
      <alignment horizontal="center"/>
    </xf>
    <xf numFmtId="0" fontId="67" fillId="6" borderId="76" xfId="0" applyFont="1" applyFill="1" applyBorder="1" applyAlignment="1">
      <alignment horizontal="left"/>
    </xf>
    <xf numFmtId="0" fontId="11" fillId="6" borderId="0" xfId="0" applyFont="1" applyFill="1" applyBorder="1"/>
    <xf numFmtId="0" fontId="28" fillId="6" borderId="0" xfId="0" applyFont="1" applyFill="1"/>
    <xf numFmtId="0" fontId="63" fillId="6" borderId="0" xfId="0" applyFont="1" applyFill="1" applyAlignment="1"/>
    <xf numFmtId="0" fontId="28" fillId="6" borderId="12" xfId="0" applyFont="1" applyFill="1" applyBorder="1" applyAlignment="1">
      <alignment horizontal="center"/>
    </xf>
    <xf numFmtId="166" fontId="11" fillId="6" borderId="12" xfId="0" applyNumberFormat="1" applyFont="1" applyFill="1" applyBorder="1" applyAlignment="1">
      <alignment horizontal="center"/>
    </xf>
    <xf numFmtId="168" fontId="11" fillId="6" borderId="12" xfId="0" applyNumberFormat="1" applyFont="1" applyFill="1" applyBorder="1" applyAlignment="1">
      <alignment horizontal="center"/>
    </xf>
    <xf numFmtId="0" fontId="34" fillId="6" borderId="0" xfId="4" applyFont="1" applyFill="1"/>
    <xf numFmtId="0" fontId="67" fillId="6" borderId="65" xfId="4" applyFont="1" applyFill="1" applyBorder="1"/>
    <xf numFmtId="0" fontId="67" fillId="6" borderId="0" xfId="4" applyFont="1" applyFill="1" applyBorder="1"/>
    <xf numFmtId="0" fontId="34" fillId="6" borderId="0" xfId="4" applyFont="1" applyFill="1" applyBorder="1"/>
    <xf numFmtId="0" fontId="34" fillId="6" borderId="66" xfId="4" applyFont="1" applyFill="1" applyBorder="1"/>
    <xf numFmtId="0" fontId="28" fillId="6" borderId="65" xfId="4" applyFont="1" applyFill="1" applyBorder="1"/>
    <xf numFmtId="0" fontId="34" fillId="6" borderId="65" xfId="4" applyFont="1" applyFill="1" applyBorder="1"/>
    <xf numFmtId="2" fontId="34" fillId="6" borderId="0" xfId="4" applyNumberFormat="1" applyFont="1" applyFill="1" applyBorder="1"/>
    <xf numFmtId="2" fontId="34" fillId="6" borderId="0" xfId="4" applyNumberFormat="1" applyFont="1" applyFill="1" applyBorder="1" applyAlignment="1">
      <alignment horizontal="center"/>
    </xf>
    <xf numFmtId="2" fontId="34" fillId="6" borderId="0" xfId="4" applyNumberFormat="1" applyFont="1" applyFill="1" applyBorder="1" applyAlignment="1">
      <alignment horizontal="right"/>
    </xf>
    <xf numFmtId="0" fontId="63" fillId="6" borderId="0" xfId="4" applyFont="1" applyFill="1" applyBorder="1"/>
    <xf numFmtId="2" fontId="34" fillId="6" borderId="0" xfId="4" applyNumberFormat="1" applyFont="1" applyFill="1" applyBorder="1" applyAlignment="1">
      <alignment horizontal="center" vertical="center"/>
    </xf>
    <xf numFmtId="0" fontId="28" fillId="6" borderId="0" xfId="4" applyFont="1" applyFill="1" applyBorder="1"/>
    <xf numFmtId="0" fontId="34" fillId="6" borderId="0" xfId="4" applyFont="1" applyFill="1" applyBorder="1" applyAlignment="1">
      <alignment horizontal="left"/>
    </xf>
    <xf numFmtId="0" fontId="34" fillId="6" borderId="0" xfId="4" applyFont="1" applyFill="1" applyBorder="1" applyAlignment="1">
      <alignment horizontal="right"/>
    </xf>
    <xf numFmtId="0" fontId="34" fillId="6" borderId="0" xfId="4" applyFont="1" applyFill="1" applyBorder="1" applyAlignment="1">
      <alignment horizontal="center"/>
    </xf>
    <xf numFmtId="0" fontId="28" fillId="6" borderId="56" xfId="4" applyFont="1" applyFill="1" applyBorder="1" applyAlignment="1">
      <alignment horizontal="center"/>
    </xf>
    <xf numFmtId="0" fontId="28" fillId="6" borderId="57" xfId="4" applyFont="1" applyFill="1" applyBorder="1" applyAlignment="1">
      <alignment horizontal="center"/>
    </xf>
    <xf numFmtId="0" fontId="28" fillId="6" borderId="67" xfId="4" applyFont="1" applyFill="1" applyBorder="1" applyAlignment="1">
      <alignment horizontal="center"/>
    </xf>
    <xf numFmtId="0" fontId="11" fillId="6" borderId="58" xfId="4" applyFont="1" applyFill="1" applyBorder="1" applyAlignment="1">
      <alignment horizontal="center"/>
    </xf>
    <xf numFmtId="2" fontId="11" fillId="6" borderId="59" xfId="4" applyNumberFormat="1" applyFont="1" applyFill="1" applyBorder="1"/>
    <xf numFmtId="2" fontId="11" fillId="6" borderId="68" xfId="4" applyNumberFormat="1" applyFont="1" applyFill="1" applyBorder="1"/>
    <xf numFmtId="0" fontId="28" fillId="6" borderId="60" xfId="4" applyFont="1" applyFill="1" applyBorder="1" applyAlignment="1">
      <alignment horizontal="center"/>
    </xf>
    <xf numFmtId="2" fontId="28" fillId="6" borderId="61" xfId="4" applyNumberFormat="1" applyFont="1" applyFill="1" applyBorder="1"/>
    <xf numFmtId="0" fontId="28" fillId="6" borderId="61" xfId="4" applyFont="1" applyFill="1" applyBorder="1"/>
    <xf numFmtId="2" fontId="28" fillId="6" borderId="69" xfId="4" applyNumberFormat="1" applyFont="1" applyFill="1" applyBorder="1"/>
    <xf numFmtId="2" fontId="28" fillId="6" borderId="0" xfId="4" applyNumberFormat="1" applyFont="1" applyFill="1" applyBorder="1" applyAlignment="1">
      <alignment horizontal="left"/>
    </xf>
    <xf numFmtId="0" fontId="34" fillId="6" borderId="70" xfId="4" applyFont="1" applyFill="1" applyBorder="1"/>
    <xf numFmtId="0" fontId="34" fillId="6" borderId="71" xfId="4" applyFont="1" applyFill="1" applyBorder="1"/>
    <xf numFmtId="0" fontId="34" fillId="6" borderId="72" xfId="4" applyFont="1" applyFill="1" applyBorder="1"/>
    <xf numFmtId="0" fontId="28" fillId="6" borderId="26" xfId="4" applyFont="1" applyFill="1" applyBorder="1"/>
    <xf numFmtId="0" fontId="34" fillId="6" borderId="18" xfId="4" applyFont="1" applyFill="1" applyBorder="1"/>
    <xf numFmtId="0" fontId="34" fillId="6" borderId="19" xfId="4" applyFont="1" applyFill="1" applyBorder="1"/>
    <xf numFmtId="0" fontId="28" fillId="6" borderId="12" xfId="4" applyFont="1" applyFill="1" applyBorder="1"/>
    <xf numFmtId="2" fontId="28" fillId="6" borderId="12" xfId="4" applyNumberFormat="1" applyFont="1" applyFill="1" applyBorder="1" applyAlignment="1">
      <alignment horizontal="left"/>
    </xf>
    <xf numFmtId="16" fontId="34" fillId="6" borderId="0" xfId="4" applyNumberFormat="1" applyFont="1" applyFill="1" applyBorder="1"/>
    <xf numFmtId="0" fontId="34" fillId="6" borderId="20" xfId="4" applyFont="1" applyFill="1" applyBorder="1"/>
    <xf numFmtId="0" fontId="34" fillId="6" borderId="21" xfId="4" applyFont="1" applyFill="1" applyBorder="1"/>
    <xf numFmtId="2" fontId="34" fillId="6" borderId="21" xfId="4" applyNumberFormat="1" applyFont="1" applyFill="1" applyBorder="1"/>
    <xf numFmtId="0" fontId="34" fillId="6" borderId="22" xfId="4" applyFont="1" applyFill="1" applyBorder="1"/>
    <xf numFmtId="0" fontId="34" fillId="6" borderId="0" xfId="4" applyFont="1" applyFill="1" applyAlignment="1">
      <alignment horizontal="justify"/>
    </xf>
    <xf numFmtId="2" fontId="34" fillId="6" borderId="0" xfId="4" applyNumberFormat="1" applyFont="1" applyFill="1"/>
    <xf numFmtId="0" fontId="67" fillId="6" borderId="18" xfId="4" applyFont="1" applyFill="1" applyBorder="1"/>
    <xf numFmtId="0" fontId="67" fillId="6" borderId="19" xfId="4" applyFont="1" applyFill="1" applyBorder="1"/>
    <xf numFmtId="0" fontId="67" fillId="6" borderId="0" xfId="4" applyFont="1" applyFill="1"/>
    <xf numFmtId="0" fontId="28" fillId="6" borderId="73" xfId="4" applyFont="1" applyFill="1" applyBorder="1" applyAlignment="1">
      <alignment horizontal="center"/>
    </xf>
    <xf numFmtId="0" fontId="34" fillId="6" borderId="73" xfId="4" applyFont="1" applyFill="1" applyBorder="1" applyAlignment="1">
      <alignment horizontal="center" vertical="top" wrapText="1"/>
    </xf>
    <xf numFmtId="2" fontId="34" fillId="6" borderId="73" xfId="4" applyNumberFormat="1" applyFont="1" applyFill="1" applyBorder="1" applyAlignment="1">
      <alignment horizontal="center" vertical="top" wrapText="1"/>
    </xf>
    <xf numFmtId="2" fontId="28" fillId="6" borderId="73" xfId="4" applyNumberFormat="1" applyFont="1" applyFill="1" applyBorder="1"/>
    <xf numFmtId="2" fontId="34" fillId="6" borderId="0" xfId="4" applyNumberFormat="1" applyFont="1" applyFill="1" applyBorder="1" applyAlignment="1">
      <alignment horizontal="left"/>
    </xf>
    <xf numFmtId="2" fontId="34" fillId="6" borderId="18" xfId="4" applyNumberFormat="1" applyFont="1" applyFill="1" applyBorder="1"/>
    <xf numFmtId="0" fontId="28" fillId="6" borderId="47" xfId="4" applyFont="1" applyFill="1" applyBorder="1"/>
    <xf numFmtId="0" fontId="28" fillId="6" borderId="18" xfId="4" applyFont="1" applyFill="1" applyBorder="1"/>
    <xf numFmtId="0" fontId="11" fillId="6" borderId="0" xfId="4" applyFont="1" applyFill="1" applyBorder="1"/>
    <xf numFmtId="2" fontId="11" fillId="6" borderId="0" xfId="4" applyNumberFormat="1" applyFont="1" applyFill="1" applyBorder="1"/>
    <xf numFmtId="0" fontId="11" fillId="6" borderId="19" xfId="4" applyFont="1" applyFill="1" applyBorder="1"/>
    <xf numFmtId="0" fontId="28" fillId="6" borderId="74" xfId="4" applyFont="1" applyFill="1" applyBorder="1" applyAlignment="1">
      <alignment horizontal="center"/>
    </xf>
    <xf numFmtId="0" fontId="11" fillId="6" borderId="74" xfId="4" applyFont="1" applyFill="1" applyBorder="1" applyAlignment="1">
      <alignment horizontal="center" vertical="top" wrapText="1"/>
    </xf>
    <xf numFmtId="2" fontId="11" fillId="6" borderId="74" xfId="4" applyNumberFormat="1" applyFont="1" applyFill="1" applyBorder="1" applyAlignment="1">
      <alignment horizontal="center" vertical="top" wrapText="1"/>
    </xf>
    <xf numFmtId="2" fontId="28" fillId="6" borderId="74" xfId="4" applyNumberFormat="1" applyFont="1" applyFill="1" applyBorder="1"/>
    <xf numFmtId="0" fontId="11" fillId="6" borderId="18" xfId="4" applyFont="1" applyFill="1" applyBorder="1"/>
    <xf numFmtId="2" fontId="11" fillId="6" borderId="0" xfId="4" applyNumberFormat="1" applyFont="1" applyFill="1" applyBorder="1" applyAlignment="1">
      <alignment horizontal="left"/>
    </xf>
    <xf numFmtId="0" fontId="11" fillId="6" borderId="0" xfId="4" applyFont="1" applyFill="1" applyBorder="1" applyAlignment="1">
      <alignment horizontal="center"/>
    </xf>
    <xf numFmtId="0" fontId="11" fillId="6" borderId="0" xfId="4" applyFont="1" applyFill="1" applyBorder="1" applyAlignment="1">
      <alignment horizontal="center" vertical="top" wrapText="1"/>
    </xf>
    <xf numFmtId="2" fontId="11" fillId="6" borderId="0" xfId="4" applyNumberFormat="1" applyFont="1" applyFill="1" applyBorder="1" applyAlignment="1">
      <alignment horizontal="right" vertical="top" wrapText="1"/>
    </xf>
    <xf numFmtId="2" fontId="11" fillId="6" borderId="19" xfId="4" applyNumberFormat="1" applyFont="1" applyFill="1" applyBorder="1" applyAlignment="1">
      <alignment horizontal="right" vertical="top" wrapText="1"/>
    </xf>
    <xf numFmtId="2" fontId="34" fillId="6" borderId="0" xfId="4" applyNumberFormat="1" applyFont="1" applyFill="1" applyBorder="1" applyAlignment="1">
      <alignment horizontal="right" vertical="top" wrapText="1"/>
    </xf>
    <xf numFmtId="0" fontId="11" fillId="6" borderId="20" xfId="4" applyFont="1" applyFill="1" applyBorder="1"/>
    <xf numFmtId="0" fontId="11" fillId="6" borderId="21" xfId="4" applyFont="1" applyFill="1" applyBorder="1"/>
    <xf numFmtId="0" fontId="11" fillId="6" borderId="22" xfId="4" applyFont="1" applyFill="1" applyBorder="1"/>
    <xf numFmtId="0" fontId="28" fillId="6" borderId="25" xfId="4" applyFont="1" applyFill="1" applyBorder="1"/>
    <xf numFmtId="0" fontId="67" fillId="6" borderId="12" xfId="4" applyFont="1" applyFill="1" applyBorder="1"/>
    <xf numFmtId="0" fontId="34" fillId="6" borderId="12" xfId="4" applyFont="1" applyFill="1" applyBorder="1"/>
    <xf numFmtId="0" fontId="28" fillId="6" borderId="75" xfId="4" applyFont="1" applyFill="1" applyBorder="1" applyAlignment="1">
      <alignment horizontal="center" vertical="top" wrapText="1"/>
    </xf>
    <xf numFmtId="2" fontId="11" fillId="6" borderId="75" xfId="4" applyNumberFormat="1" applyFont="1" applyFill="1" applyBorder="1" applyAlignment="1">
      <alignment horizontal="right" vertical="top" wrapText="1"/>
    </xf>
    <xf numFmtId="0" fontId="11" fillId="6" borderId="75" xfId="4" applyFont="1" applyFill="1" applyBorder="1"/>
    <xf numFmtId="2" fontId="11" fillId="6" borderId="75" xfId="4" applyNumberFormat="1" applyFont="1" applyFill="1" applyBorder="1"/>
    <xf numFmtId="2" fontId="28" fillId="6" borderId="75" xfId="4" applyNumberFormat="1" applyFont="1" applyFill="1" applyBorder="1" applyAlignment="1">
      <alignment horizontal="right" vertical="top" wrapText="1"/>
    </xf>
    <xf numFmtId="0" fontId="28" fillId="6" borderId="75" xfId="4" applyFont="1" applyFill="1" applyBorder="1"/>
    <xf numFmtId="2" fontId="28" fillId="6" borderId="12" xfId="4" applyNumberFormat="1" applyFont="1" applyFill="1" applyBorder="1"/>
    <xf numFmtId="0" fontId="28" fillId="6" borderId="12" xfId="4" applyFont="1" applyFill="1" applyBorder="1" applyAlignment="1">
      <alignment horizontal="center"/>
    </xf>
    <xf numFmtId="0" fontId="34" fillId="6" borderId="19" xfId="4" applyFont="1" applyFill="1" applyBorder="1" applyAlignment="1">
      <alignment horizontal="center" vertical="center"/>
    </xf>
    <xf numFmtId="2" fontId="35" fillId="6" borderId="0" xfId="4" applyNumberFormat="1" applyFont="1" applyFill="1" applyBorder="1"/>
    <xf numFmtId="0" fontId="35" fillId="6" borderId="0" xfId="4" applyFont="1" applyFill="1" applyBorder="1" applyAlignment="1">
      <alignment horizontal="center"/>
    </xf>
    <xf numFmtId="0" fontId="34" fillId="6" borderId="0" xfId="4" applyFont="1" applyFill="1" applyBorder="1" applyAlignment="1">
      <alignment horizontal="justify"/>
    </xf>
    <xf numFmtId="2" fontId="34" fillId="6" borderId="12" xfId="4" applyNumberFormat="1" applyFont="1" applyFill="1" applyBorder="1"/>
    <xf numFmtId="0" fontId="28" fillId="6" borderId="21" xfId="4" applyFont="1" applyFill="1" applyBorder="1"/>
    <xf numFmtId="0" fontId="28" fillId="6" borderId="30" xfId="0" applyFont="1" applyFill="1" applyBorder="1"/>
    <xf numFmtId="0" fontId="11" fillId="6" borderId="33" xfId="0" applyFont="1" applyFill="1" applyBorder="1"/>
    <xf numFmtId="0" fontId="11" fillId="6" borderId="35" xfId="0" applyFont="1" applyFill="1" applyBorder="1"/>
    <xf numFmtId="0" fontId="11" fillId="6" borderId="38" xfId="0" applyFont="1" applyFill="1" applyBorder="1"/>
    <xf numFmtId="0" fontId="28" fillId="6" borderId="33" xfId="0" applyFont="1" applyFill="1" applyBorder="1"/>
    <xf numFmtId="0" fontId="28" fillId="6" borderId="0" xfId="0" applyFont="1" applyFill="1" applyBorder="1"/>
    <xf numFmtId="0" fontId="28" fillId="6" borderId="0" xfId="0" applyFont="1" applyFill="1" applyBorder="1" applyAlignment="1">
      <alignment horizontal="center" vertical="center"/>
    </xf>
    <xf numFmtId="0" fontId="28" fillId="6" borderId="0" xfId="0" applyFont="1" applyFill="1" applyBorder="1" applyAlignment="1">
      <alignment horizontal="right" vertical="center"/>
    </xf>
    <xf numFmtId="0" fontId="11" fillId="6" borderId="0" xfId="0" applyFont="1" applyFill="1" applyBorder="1" applyAlignment="1">
      <alignment horizontal="center" vertical="center"/>
    </xf>
    <xf numFmtId="0" fontId="11" fillId="6" borderId="12" xfId="0" applyFont="1" applyFill="1" applyBorder="1" applyAlignment="1">
      <alignment horizontal="right" vertical="center"/>
    </xf>
    <xf numFmtId="165" fontId="11" fillId="6" borderId="12" xfId="0" applyNumberFormat="1" applyFont="1" applyFill="1" applyBorder="1" applyAlignment="1">
      <alignment horizontal="center" vertical="center"/>
    </xf>
    <xf numFmtId="0" fontId="11" fillId="6" borderId="12" xfId="0" applyFont="1" applyFill="1" applyBorder="1"/>
    <xf numFmtId="0" fontId="28" fillId="6" borderId="0" xfId="0" applyFont="1" applyFill="1" applyBorder="1" applyAlignment="1">
      <alignment horizontal="right"/>
    </xf>
    <xf numFmtId="4" fontId="34" fillId="6" borderId="0" xfId="0" applyNumberFormat="1" applyFont="1" applyFill="1"/>
    <xf numFmtId="4" fontId="34" fillId="6" borderId="0" xfId="0" applyNumberFormat="1" applyFont="1" applyFill="1" applyAlignment="1">
      <alignment horizontal="center"/>
    </xf>
    <xf numFmtId="0" fontId="11" fillId="6" borderId="31" xfId="0" applyFont="1" applyFill="1" applyBorder="1" applyAlignment="1">
      <alignment horizontal="left" vertical="center"/>
    </xf>
    <xf numFmtId="0" fontId="11" fillId="6" borderId="32" xfId="0" applyFont="1" applyFill="1" applyBorder="1" applyAlignment="1">
      <alignment horizontal="left" vertical="center"/>
    </xf>
    <xf numFmtId="0" fontId="11" fillId="6" borderId="5" xfId="0" applyFont="1" applyFill="1" applyBorder="1" applyAlignment="1">
      <alignment horizontal="left" vertical="center"/>
    </xf>
    <xf numFmtId="0" fontId="11" fillId="6" borderId="34" xfId="0" applyFont="1" applyFill="1" applyBorder="1" applyAlignment="1">
      <alignment horizontal="left" vertical="center"/>
    </xf>
    <xf numFmtId="0" fontId="11" fillId="6" borderId="36" xfId="0" applyFont="1" applyFill="1" applyBorder="1" applyAlignment="1">
      <alignment horizontal="left" vertical="center"/>
    </xf>
    <xf numFmtId="0" fontId="11" fillId="6" borderId="37" xfId="0" applyFont="1" applyFill="1" applyBorder="1" applyAlignment="1">
      <alignment horizontal="left" vertical="center"/>
    </xf>
    <xf numFmtId="4" fontId="34" fillId="6" borderId="0" xfId="0" applyNumberFormat="1" applyFont="1" applyFill="1" applyAlignment="1">
      <alignment horizontal="left"/>
    </xf>
    <xf numFmtId="3" fontId="34" fillId="6" borderId="0" xfId="0" applyNumberFormat="1" applyFont="1" applyFill="1" applyAlignment="1">
      <alignment horizontal="center"/>
    </xf>
    <xf numFmtId="170" fontId="34" fillId="6" borderId="0" xfId="0" applyNumberFormat="1" applyFont="1" applyFill="1" applyAlignment="1">
      <alignment horizontal="center"/>
    </xf>
    <xf numFmtId="0" fontId="11" fillId="6" borderId="39" xfId="0" applyFont="1" applyFill="1" applyBorder="1" applyAlignment="1">
      <alignment horizontal="left" vertical="center"/>
    </xf>
    <xf numFmtId="169" fontId="72" fillId="6" borderId="40" xfId="0" applyNumberFormat="1" applyFont="1" applyFill="1" applyBorder="1" applyAlignment="1">
      <alignment horizontal="left" vertical="center"/>
    </xf>
    <xf numFmtId="2" fontId="11" fillId="6" borderId="34" xfId="0" applyNumberFormat="1" applyFont="1" applyFill="1" applyBorder="1" applyAlignment="1">
      <alignment horizontal="left" vertical="center"/>
    </xf>
    <xf numFmtId="0" fontId="34" fillId="6" borderId="5" xfId="0" applyFont="1" applyFill="1" applyBorder="1" applyAlignment="1">
      <alignment horizontal="left" vertical="center"/>
    </xf>
    <xf numFmtId="2" fontId="11" fillId="6" borderId="37" xfId="0" applyNumberFormat="1" applyFont="1" applyFill="1" applyBorder="1" applyAlignment="1">
      <alignment horizontal="left" vertical="center"/>
    </xf>
    <xf numFmtId="4" fontId="67" fillId="6" borderId="0" xfId="0" applyNumberFormat="1" applyFont="1" applyFill="1" applyAlignment="1">
      <alignment horizontal="right"/>
    </xf>
    <xf numFmtId="171" fontId="67" fillId="6" borderId="0" xfId="0" applyNumberFormat="1" applyFont="1" applyFill="1"/>
    <xf numFmtId="4" fontId="67" fillId="6" borderId="0" xfId="0" applyNumberFormat="1" applyFont="1" applyFill="1" applyAlignment="1"/>
    <xf numFmtId="4" fontId="67" fillId="6" borderId="13" xfId="0" applyNumberFormat="1" applyFont="1" applyFill="1" applyBorder="1"/>
    <xf numFmtId="4" fontId="34" fillId="6" borderId="41" xfId="0" applyNumberFormat="1" applyFont="1" applyFill="1" applyBorder="1"/>
    <xf numFmtId="4" fontId="34" fillId="6" borderId="42" xfId="0" applyNumberFormat="1" applyFont="1" applyFill="1" applyBorder="1"/>
    <xf numFmtId="0" fontId="34" fillId="6" borderId="43" xfId="0" applyFont="1" applyFill="1" applyBorder="1"/>
    <xf numFmtId="4" fontId="34" fillId="6" borderId="0" xfId="0" applyNumberFormat="1" applyFont="1" applyFill="1" applyBorder="1"/>
    <xf numFmtId="4" fontId="34" fillId="6" borderId="44" xfId="0" applyNumberFormat="1" applyFont="1" applyFill="1" applyBorder="1"/>
    <xf numFmtId="4" fontId="34" fillId="6" borderId="43" xfId="0" applyNumberFormat="1" applyFont="1" applyFill="1" applyBorder="1" applyAlignment="1">
      <alignment horizontal="right"/>
    </xf>
    <xf numFmtId="4" fontId="67" fillId="6" borderId="15" xfId="0" applyNumberFormat="1" applyFont="1" applyFill="1" applyBorder="1" applyAlignment="1">
      <alignment horizontal="right"/>
    </xf>
    <xf numFmtId="4" fontId="67" fillId="6" borderId="45" xfId="0" applyNumberFormat="1" applyFont="1" applyFill="1" applyBorder="1"/>
    <xf numFmtId="4" fontId="67" fillId="6" borderId="46" xfId="0" applyNumberFormat="1" applyFont="1" applyFill="1" applyBorder="1"/>
    <xf numFmtId="4" fontId="67" fillId="6" borderId="0" xfId="0" applyNumberFormat="1" applyFont="1" applyFill="1"/>
    <xf numFmtId="4" fontId="67" fillId="6" borderId="13" xfId="0" applyNumberFormat="1" applyFont="1" applyFill="1" applyBorder="1" applyAlignment="1"/>
    <xf numFmtId="4" fontId="34" fillId="6" borderId="41" xfId="0" applyNumberFormat="1" applyFont="1" applyFill="1" applyBorder="1" applyAlignment="1"/>
    <xf numFmtId="4" fontId="34" fillId="6" borderId="43" xfId="0" applyNumberFormat="1" applyFont="1" applyFill="1" applyBorder="1" applyAlignment="1"/>
    <xf numFmtId="4" fontId="34" fillId="6" borderId="0" xfId="0" applyNumberFormat="1" applyFont="1" applyFill="1" applyBorder="1" applyAlignment="1"/>
    <xf numFmtId="4" fontId="34" fillId="6" borderId="46" xfId="0" applyNumberFormat="1" applyFont="1" applyFill="1" applyBorder="1"/>
    <xf numFmtId="4" fontId="67" fillId="6" borderId="43" xfId="0" applyNumberFormat="1" applyFont="1" applyFill="1" applyBorder="1" applyAlignment="1">
      <alignment horizontal="right"/>
    </xf>
    <xf numFmtId="4" fontId="67" fillId="6" borderId="41" xfId="0" applyNumberFormat="1" applyFont="1" applyFill="1" applyBorder="1"/>
    <xf numFmtId="4" fontId="67" fillId="6" borderId="42" xfId="0" applyNumberFormat="1" applyFont="1" applyFill="1" applyBorder="1"/>
    <xf numFmtId="4" fontId="67" fillId="6" borderId="0" xfId="0" applyNumberFormat="1" applyFont="1" applyFill="1" applyBorder="1"/>
    <xf numFmtId="4" fontId="67" fillId="6" borderId="44" xfId="0" applyNumberFormat="1" applyFont="1" applyFill="1" applyBorder="1"/>
    <xf numFmtId="4" fontId="67" fillId="6" borderId="0" xfId="0" applyNumberFormat="1" applyFont="1" applyFill="1" applyBorder="1" applyAlignment="1">
      <alignment horizontal="right"/>
    </xf>
    <xf numFmtId="4" fontId="34" fillId="6" borderId="15" xfId="0" applyNumberFormat="1" applyFont="1" applyFill="1" applyBorder="1" applyAlignment="1">
      <alignment horizontal="right"/>
    </xf>
    <xf numFmtId="4" fontId="67" fillId="6" borderId="45" xfId="0" applyNumberFormat="1" applyFont="1" applyFill="1" applyBorder="1" applyAlignment="1">
      <alignment horizontal="right"/>
    </xf>
    <xf numFmtId="4" fontId="11" fillId="6" borderId="0" xfId="0" applyNumberFormat="1" applyFont="1" applyFill="1" applyBorder="1" applyAlignment="1">
      <alignment horizontal="center" vertical="center"/>
    </xf>
    <xf numFmtId="4" fontId="68" fillId="6" borderId="0" xfId="0" applyNumberFormat="1" applyFont="1" applyFill="1" applyBorder="1" applyAlignment="1">
      <alignment horizontal="center" vertical="center"/>
    </xf>
    <xf numFmtId="0" fontId="35" fillId="6" borderId="0" xfId="4" applyFont="1" applyFill="1" applyBorder="1"/>
    <xf numFmtId="2" fontId="35" fillId="6" borderId="0" xfId="4" applyNumberFormat="1" applyFont="1" applyFill="1" applyBorder="1" applyAlignment="1">
      <alignment horizontal="left"/>
    </xf>
    <xf numFmtId="2" fontId="35" fillId="6" borderId="0" xfId="4" applyNumberFormat="1" applyFont="1" applyFill="1" applyBorder="1" applyAlignment="1">
      <alignment horizontal="right"/>
    </xf>
    <xf numFmtId="4" fontId="67" fillId="6" borderId="2" xfId="0" applyNumberFormat="1" applyFont="1" applyFill="1" applyBorder="1" applyAlignment="1"/>
    <xf numFmtId="4" fontId="67" fillId="6" borderId="3" xfId="0" applyNumberFormat="1" applyFont="1" applyFill="1" applyBorder="1"/>
    <xf numFmtId="4" fontId="67" fillId="6" borderId="4" xfId="0" applyNumberFormat="1" applyFont="1" applyFill="1" applyBorder="1" applyAlignment="1">
      <alignment horizontal="center"/>
    </xf>
    <xf numFmtId="4" fontId="34" fillId="6" borderId="5" xfId="0" applyNumberFormat="1" applyFont="1" applyFill="1" applyBorder="1" applyAlignment="1">
      <alignment horizontal="center"/>
    </xf>
    <xf numFmtId="4" fontId="34" fillId="6" borderId="6" xfId="0" applyNumberFormat="1" applyFont="1" applyFill="1" applyBorder="1" applyAlignment="1">
      <alignment horizontal="center"/>
    </xf>
    <xf numFmtId="4" fontId="34" fillId="6" borderId="7" xfId="0" applyNumberFormat="1" applyFont="1" applyFill="1" applyBorder="1" applyAlignment="1">
      <alignment horizontal="center"/>
    </xf>
    <xf numFmtId="4" fontId="34" fillId="6" borderId="8" xfId="0" applyNumberFormat="1" applyFont="1" applyFill="1" applyBorder="1" applyAlignment="1">
      <alignment horizontal="center"/>
    </xf>
    <xf numFmtId="4" fontId="34" fillId="6" borderId="9" xfId="0" applyNumberFormat="1" applyFont="1" applyFill="1" applyBorder="1" applyAlignment="1">
      <alignment horizontal="center"/>
    </xf>
    <xf numFmtId="4" fontId="34" fillId="6" borderId="0" xfId="0" applyNumberFormat="1" applyFont="1" applyFill="1" applyBorder="1" applyAlignment="1">
      <alignment horizontal="center"/>
    </xf>
    <xf numFmtId="0" fontId="11" fillId="6" borderId="0" xfId="0" applyFont="1" applyFill="1" applyBorder="1" applyAlignment="1"/>
    <xf numFmtId="0" fontId="14" fillId="11" borderId="13" xfId="2" applyFont="1" applyFill="1" applyBorder="1"/>
    <xf numFmtId="0" fontId="14" fillId="11" borderId="41" xfId="2" applyFont="1" applyFill="1" applyBorder="1"/>
    <xf numFmtId="0" fontId="11" fillId="11" borderId="41" xfId="2" applyFont="1" applyFill="1" applyBorder="1"/>
    <xf numFmtId="0" fontId="11" fillId="11" borderId="42" xfId="2" applyFont="1" applyFill="1" applyBorder="1"/>
    <xf numFmtId="0" fontId="14" fillId="11" borderId="43" xfId="2" applyFont="1" applyFill="1" applyBorder="1"/>
    <xf numFmtId="0" fontId="43" fillId="11" borderId="0" xfId="2" applyFont="1" applyFill="1" applyBorder="1" applyAlignment="1">
      <alignment vertical="top"/>
    </xf>
    <xf numFmtId="0" fontId="11" fillId="11" borderId="0" xfId="2" applyFont="1" applyFill="1" applyBorder="1"/>
    <xf numFmtId="0" fontId="11" fillId="11" borderId="44" xfId="2" applyFont="1" applyFill="1" applyBorder="1"/>
    <xf numFmtId="0" fontId="14" fillId="11" borderId="0" xfId="2" applyFont="1" applyFill="1" applyBorder="1"/>
    <xf numFmtId="0" fontId="42" fillId="11" borderId="0" xfId="2" applyFont="1" applyFill="1" applyBorder="1" applyAlignment="1">
      <alignment horizontal="left"/>
    </xf>
    <xf numFmtId="0" fontId="14" fillId="11" borderId="0" xfId="2" applyFont="1" applyFill="1" applyBorder="1" applyAlignment="1">
      <alignment horizontal="center"/>
    </xf>
    <xf numFmtId="0" fontId="18" fillId="11" borderId="0" xfId="0" applyFont="1" applyFill="1" applyBorder="1" applyAlignment="1"/>
    <xf numFmtId="0" fontId="18" fillId="11" borderId="44" xfId="0" applyFont="1" applyFill="1" applyBorder="1" applyAlignment="1"/>
    <xf numFmtId="0" fontId="11" fillId="11" borderId="43" xfId="2" applyFont="1" applyFill="1" applyBorder="1"/>
    <xf numFmtId="166" fontId="14" fillId="11" borderId="0" xfId="2" applyNumberFormat="1" applyFont="1" applyFill="1" applyBorder="1" applyAlignment="1">
      <alignment horizontal="center"/>
    </xf>
    <xf numFmtId="0" fontId="11" fillId="11" borderId="0" xfId="2" applyFont="1" applyFill="1" applyBorder="1" applyAlignment="1">
      <alignment horizontal="left" indent="2"/>
    </xf>
    <xf numFmtId="166" fontId="11" fillId="11" borderId="43" xfId="2" applyNumberFormat="1" applyFont="1" applyFill="1" applyBorder="1"/>
    <xf numFmtId="0" fontId="47" fillId="11" borderId="0" xfId="2" applyFont="1" applyFill="1" applyBorder="1"/>
    <xf numFmtId="2" fontId="14" fillId="11" borderId="0" xfId="2" applyNumberFormat="1" applyFont="1" applyFill="1" applyBorder="1" applyAlignment="1">
      <alignment horizontal="center" vertical="center"/>
    </xf>
    <xf numFmtId="0" fontId="47" fillId="11" borderId="0" xfId="2" applyFont="1" applyFill="1" applyBorder="1" applyAlignment="1">
      <alignment horizontal="center" vertical="top"/>
    </xf>
    <xf numFmtId="166" fontId="11" fillId="11" borderId="44" xfId="2" applyNumberFormat="1" applyFont="1" applyFill="1" applyBorder="1" applyAlignment="1">
      <alignment horizontal="left" vertical="center"/>
    </xf>
    <xf numFmtId="2" fontId="14" fillId="11" borderId="0" xfId="2" applyNumberFormat="1" applyFont="1" applyFill="1" applyBorder="1" applyAlignment="1">
      <alignment horizontal="left" vertical="center"/>
    </xf>
    <xf numFmtId="2" fontId="14" fillId="11" borderId="0" xfId="2" applyNumberFormat="1" applyFont="1" applyFill="1" applyBorder="1" applyAlignment="1"/>
    <xf numFmtId="0" fontId="47" fillId="11" borderId="0" xfId="2" applyFont="1" applyFill="1" applyBorder="1" applyAlignment="1">
      <alignment horizontal="left" indent="1"/>
    </xf>
    <xf numFmtId="0" fontId="11" fillId="11" borderId="21" xfId="2" applyFont="1" applyFill="1" applyBorder="1"/>
    <xf numFmtId="0" fontId="42" fillId="11" borderId="0" xfId="2" applyFont="1" applyFill="1" applyBorder="1"/>
    <xf numFmtId="0" fontId="11" fillId="11" borderId="25" xfId="2" applyFont="1" applyFill="1" applyBorder="1"/>
    <xf numFmtId="0" fontId="11" fillId="11" borderId="15" xfId="2" applyFont="1" applyFill="1" applyBorder="1"/>
    <xf numFmtId="0" fontId="11" fillId="11" borderId="45" xfId="2" applyFont="1" applyFill="1" applyBorder="1"/>
    <xf numFmtId="0" fontId="11" fillId="11" borderId="46" xfId="2" applyFont="1" applyFill="1" applyBorder="1"/>
    <xf numFmtId="166" fontId="10" fillId="6" borderId="26" xfId="5" applyNumberFormat="1" applyFill="1" applyBorder="1" applyAlignment="1">
      <alignment horizontal="center"/>
    </xf>
    <xf numFmtId="166" fontId="10" fillId="6" borderId="24" xfId="5" applyNumberFormat="1" applyFill="1" applyBorder="1" applyAlignment="1">
      <alignment horizontal="center"/>
    </xf>
    <xf numFmtId="0" fontId="0" fillId="6" borderId="0" xfId="5" applyFont="1" applyFill="1" applyAlignment="1">
      <alignment horizontal="center"/>
    </xf>
    <xf numFmtId="0" fontId="10" fillId="6" borderId="0" xfId="5" applyFill="1" applyAlignment="1">
      <alignment horizontal="center"/>
    </xf>
    <xf numFmtId="0" fontId="5" fillId="6" borderId="13" xfId="5" applyFont="1" applyFill="1" applyBorder="1" applyAlignment="1">
      <alignment horizontal="center" vertical="center"/>
    </xf>
    <xf numFmtId="0" fontId="5" fillId="6" borderId="41" xfId="5" applyFont="1" applyFill="1" applyBorder="1" applyAlignment="1">
      <alignment horizontal="center" vertical="center"/>
    </xf>
    <xf numFmtId="0" fontId="5" fillId="6" borderId="42" xfId="5" applyFont="1" applyFill="1" applyBorder="1" applyAlignment="1">
      <alignment horizontal="center" vertical="center"/>
    </xf>
    <xf numFmtId="0" fontId="5" fillId="6" borderId="15" xfId="5" applyFont="1" applyFill="1" applyBorder="1" applyAlignment="1">
      <alignment horizontal="center" vertical="center"/>
    </xf>
    <xf numFmtId="0" fontId="5" fillId="6" borderId="45" xfId="5" applyFont="1" applyFill="1" applyBorder="1" applyAlignment="1">
      <alignment horizontal="center" vertical="center"/>
    </xf>
    <xf numFmtId="0" fontId="5" fillId="6" borderId="46" xfId="5" applyFont="1" applyFill="1" applyBorder="1" applyAlignment="1">
      <alignment horizontal="center" vertical="center"/>
    </xf>
    <xf numFmtId="0" fontId="5" fillId="6" borderId="14" xfId="5" applyFont="1" applyFill="1" applyBorder="1" applyAlignment="1">
      <alignment horizontal="center"/>
    </xf>
    <xf numFmtId="0" fontId="5" fillId="6" borderId="48" xfId="5" applyFont="1" applyFill="1" applyBorder="1" applyAlignment="1">
      <alignment horizontal="center"/>
    </xf>
    <xf numFmtId="0" fontId="5" fillId="6" borderId="11" xfId="5" applyFont="1" applyFill="1" applyBorder="1" applyAlignment="1">
      <alignment horizontal="center"/>
    </xf>
    <xf numFmtId="166" fontId="10" fillId="6" borderId="12" xfId="5" applyNumberFormat="1" applyFill="1" applyBorder="1" applyAlignment="1">
      <alignment horizontal="center"/>
    </xf>
    <xf numFmtId="0" fontId="5" fillId="6" borderId="14" xfId="5" applyFont="1" applyFill="1" applyBorder="1" applyAlignment="1">
      <alignment horizontal="center" vertical="center"/>
    </xf>
    <xf numFmtId="0" fontId="5" fillId="6" borderId="48" xfId="5" applyFont="1" applyFill="1" applyBorder="1" applyAlignment="1">
      <alignment horizontal="center" vertical="center"/>
    </xf>
    <xf numFmtId="0" fontId="5" fillId="6" borderId="11" xfId="5" applyFont="1" applyFill="1" applyBorder="1" applyAlignment="1">
      <alignment horizontal="center" vertical="center"/>
    </xf>
    <xf numFmtId="0" fontId="11" fillId="9" borderId="0" xfId="0" applyFont="1" applyFill="1" applyAlignment="1">
      <alignment horizontal="center"/>
    </xf>
    <xf numFmtId="169" fontId="11" fillId="9" borderId="16" xfId="0" applyNumberFormat="1" applyFont="1" applyFill="1" applyBorder="1" applyAlignment="1">
      <alignment horizontal="center"/>
    </xf>
    <xf numFmtId="0" fontId="11" fillId="9" borderId="16" xfId="0" applyFont="1" applyFill="1" applyBorder="1" applyAlignment="1">
      <alignment horizontal="center"/>
    </xf>
    <xf numFmtId="0" fontId="11" fillId="6" borderId="0" xfId="0" applyFont="1" applyFill="1" applyAlignment="1">
      <alignment horizontal="center"/>
    </xf>
    <xf numFmtId="0" fontId="11" fillId="5" borderId="0" xfId="0" applyFont="1" applyFill="1" applyAlignment="1">
      <alignment horizontal="center"/>
    </xf>
    <xf numFmtId="0" fontId="5" fillId="6" borderId="26" xfId="5" applyFont="1" applyFill="1" applyBorder="1" applyAlignment="1">
      <alignment horizontal="center"/>
    </xf>
    <xf numFmtId="0" fontId="5" fillId="6" borderId="23" xfId="5" applyFont="1" applyFill="1" applyBorder="1" applyAlignment="1">
      <alignment horizontal="center"/>
    </xf>
    <xf numFmtId="0" fontId="5" fillId="6" borderId="24" xfId="5" applyFont="1" applyFill="1" applyBorder="1" applyAlignment="1">
      <alignment horizontal="center"/>
    </xf>
    <xf numFmtId="0" fontId="5" fillId="7" borderId="26" xfId="5" applyFont="1" applyFill="1" applyBorder="1" applyAlignment="1">
      <alignment horizontal="center" vertical="center"/>
    </xf>
    <xf numFmtId="0" fontId="5" fillId="7" borderId="23" xfId="5" applyFont="1" applyFill="1" applyBorder="1" applyAlignment="1">
      <alignment horizontal="center" vertical="center"/>
    </xf>
    <xf numFmtId="0" fontId="5" fillId="7" borderId="24" xfId="5" applyFont="1" applyFill="1" applyBorder="1" applyAlignment="1">
      <alignment horizontal="center" vertical="center"/>
    </xf>
    <xf numFmtId="169" fontId="10" fillId="7" borderId="26" xfId="5" applyNumberFormat="1" applyFill="1" applyBorder="1" applyAlignment="1">
      <alignment horizontal="center"/>
    </xf>
    <xf numFmtId="169" fontId="10" fillId="7" borderId="24" xfId="5" applyNumberFormat="1" applyFill="1" applyBorder="1" applyAlignment="1">
      <alignment horizontal="center"/>
    </xf>
    <xf numFmtId="0" fontId="11" fillId="8" borderId="16" xfId="0" applyFont="1" applyFill="1" applyBorder="1" applyAlignment="1">
      <alignment horizontal="center"/>
    </xf>
    <xf numFmtId="0" fontId="11" fillId="8" borderId="12" xfId="0" applyFont="1" applyFill="1" applyBorder="1" applyAlignment="1">
      <alignment horizontal="center"/>
    </xf>
    <xf numFmtId="0" fontId="14" fillId="6" borderId="12" xfId="2" applyNumberFormat="1" applyFont="1" applyFill="1" applyBorder="1" applyAlignment="1">
      <alignment horizontal="left"/>
    </xf>
    <xf numFmtId="0" fontId="12" fillId="6" borderId="0" xfId="0" applyFont="1" applyFill="1" applyBorder="1" applyAlignment="1">
      <alignment horizontal="left"/>
    </xf>
    <xf numFmtId="0" fontId="41" fillId="6" borderId="0" xfId="0" applyFont="1" applyFill="1" applyBorder="1" applyAlignment="1">
      <alignment horizontal="center"/>
    </xf>
    <xf numFmtId="0" fontId="15" fillId="6" borderId="0" xfId="0" applyFont="1" applyFill="1" applyBorder="1" applyAlignment="1">
      <alignment horizontal="center" vertical="center"/>
    </xf>
    <xf numFmtId="0" fontId="23" fillId="12" borderId="26" xfId="2" applyFont="1" applyFill="1" applyBorder="1" applyAlignment="1">
      <alignment horizontal="center"/>
    </xf>
    <xf numFmtId="0" fontId="23" fillId="12" borderId="23" xfId="2" applyFont="1" applyFill="1" applyBorder="1" applyAlignment="1">
      <alignment horizontal="center"/>
    </xf>
    <xf numFmtId="0" fontId="23" fillId="12" borderId="24" xfId="2" applyFont="1" applyFill="1" applyBorder="1" applyAlignment="1">
      <alignment horizontal="center"/>
    </xf>
    <xf numFmtId="2" fontId="16" fillId="6" borderId="0" xfId="2" applyNumberFormat="1" applyFont="1" applyFill="1" applyBorder="1" applyAlignment="1">
      <alignment horizontal="left"/>
    </xf>
    <xf numFmtId="2" fontId="16" fillId="6" borderId="0" xfId="2" applyNumberFormat="1" applyFont="1" applyFill="1" applyBorder="1" applyAlignment="1">
      <alignment horizontal="center"/>
    </xf>
    <xf numFmtId="0" fontId="28" fillId="6" borderId="23" xfId="4" applyFont="1" applyFill="1" applyBorder="1" applyAlignment="1">
      <alignment horizontal="left"/>
    </xf>
    <xf numFmtId="0" fontId="28" fillId="6" borderId="24" xfId="4" applyFont="1" applyFill="1" applyBorder="1" applyAlignment="1">
      <alignment horizontal="left"/>
    </xf>
    <xf numFmtId="0" fontId="28" fillId="6" borderId="12" xfId="4" applyFont="1" applyFill="1" applyBorder="1" applyAlignment="1">
      <alignment horizontal="left"/>
    </xf>
    <xf numFmtId="0" fontId="11" fillId="6" borderId="75" xfId="4" applyFont="1" applyFill="1" applyBorder="1" applyAlignment="1">
      <alignment horizontal="left" vertical="top" wrapText="1"/>
    </xf>
    <xf numFmtId="0" fontId="28" fillId="6" borderId="75" xfId="4" applyFont="1" applyFill="1" applyBorder="1" applyAlignment="1">
      <alignment horizontal="center" vertical="top" wrapText="1"/>
    </xf>
    <xf numFmtId="0" fontId="68" fillId="6" borderId="62" xfId="1" applyFont="1" applyFill="1" applyBorder="1" applyAlignment="1">
      <alignment horizontal="center"/>
    </xf>
    <xf numFmtId="0" fontId="68" fillId="6" borderId="63" xfId="1" applyFont="1" applyFill="1" applyBorder="1" applyAlignment="1">
      <alignment horizontal="center"/>
    </xf>
    <xf numFmtId="0" fontId="68" fillId="6" borderId="64" xfId="1" applyFont="1" applyFill="1" applyBorder="1" applyAlignment="1">
      <alignment horizontal="center"/>
    </xf>
    <xf numFmtId="0" fontId="28" fillId="6" borderId="0" xfId="4" applyFont="1" applyFill="1" applyBorder="1" applyAlignment="1">
      <alignment horizontal="left"/>
    </xf>
    <xf numFmtId="0" fontId="28" fillId="6" borderId="66" xfId="4" applyFont="1" applyFill="1" applyBorder="1" applyAlignment="1">
      <alignment horizontal="left"/>
    </xf>
    <xf numFmtId="0" fontId="28" fillId="6" borderId="12" xfId="4" applyFont="1" applyFill="1" applyBorder="1" applyAlignment="1">
      <alignment horizontal="center"/>
    </xf>
    <xf numFmtId="0" fontId="28" fillId="6" borderId="16" xfId="4" applyFont="1" applyFill="1" applyBorder="1" applyAlignment="1">
      <alignment horizontal="left"/>
    </xf>
    <xf numFmtId="0" fontId="28" fillId="6" borderId="17" xfId="4" applyFont="1" applyFill="1" applyBorder="1" applyAlignment="1">
      <alignment horizontal="left"/>
    </xf>
    <xf numFmtId="0" fontId="28" fillId="6" borderId="0" xfId="0" applyFont="1" applyFill="1" applyAlignment="1">
      <alignment horizontal="center"/>
    </xf>
    <xf numFmtId="0" fontId="35" fillId="6" borderId="76" xfId="0" applyFont="1" applyFill="1" applyBorder="1" applyAlignment="1">
      <alignment horizontal="center"/>
    </xf>
    <xf numFmtId="0" fontId="28" fillId="6" borderId="12" xfId="0" applyFont="1" applyFill="1" applyBorder="1" applyAlignment="1">
      <alignment horizontal="left"/>
    </xf>
    <xf numFmtId="4" fontId="34" fillId="6" borderId="5" xfId="0" applyNumberFormat="1" applyFont="1" applyFill="1" applyBorder="1" applyAlignment="1">
      <alignment horizontal="center"/>
    </xf>
    <xf numFmtId="4" fontId="34" fillId="6" borderId="8" xfId="0" applyNumberFormat="1" applyFont="1" applyFill="1" applyBorder="1" applyAlignment="1">
      <alignment horizontal="center"/>
    </xf>
    <xf numFmtId="4" fontId="67" fillId="6" borderId="1" xfId="0" applyNumberFormat="1" applyFont="1" applyFill="1" applyBorder="1" applyAlignment="1">
      <alignment horizontal="center"/>
    </xf>
    <xf numFmtId="4" fontId="67" fillId="6" borderId="2" xfId="0" applyNumberFormat="1" applyFont="1" applyFill="1" applyBorder="1" applyAlignment="1">
      <alignment horizontal="center"/>
    </xf>
    <xf numFmtId="0" fontId="63" fillId="6" borderId="26" xfId="0" applyFont="1" applyFill="1" applyBorder="1" applyAlignment="1">
      <alignment horizontal="center"/>
    </xf>
    <xf numFmtId="0" fontId="63" fillId="6" borderId="23" xfId="0" applyFont="1" applyFill="1" applyBorder="1" applyAlignment="1">
      <alignment horizontal="center"/>
    </xf>
    <xf numFmtId="0" fontId="63" fillId="6" borderId="24" xfId="0" applyFont="1" applyFill="1" applyBorder="1" applyAlignment="1">
      <alignment horizontal="center"/>
    </xf>
    <xf numFmtId="0" fontId="28" fillId="6" borderId="0" xfId="0" applyFont="1" applyFill="1" applyAlignment="1">
      <alignment horizontal="left"/>
    </xf>
    <xf numFmtId="172" fontId="34" fillId="6" borderId="5" xfId="0" applyNumberFormat="1" applyFont="1" applyFill="1" applyBorder="1" applyAlignment="1">
      <alignment horizontal="center"/>
    </xf>
    <xf numFmtId="4" fontId="34" fillId="6" borderId="43" xfId="0" applyNumberFormat="1" applyFont="1" applyFill="1" applyBorder="1" applyAlignment="1">
      <alignment horizontal="left"/>
    </xf>
    <xf numFmtId="4" fontId="34" fillId="6" borderId="0" xfId="0" applyNumberFormat="1" applyFont="1" applyFill="1" applyBorder="1" applyAlignment="1">
      <alignment horizontal="left"/>
    </xf>
    <xf numFmtId="171" fontId="34" fillId="6" borderId="5" xfId="0" applyNumberFormat="1" applyFont="1" applyFill="1" applyBorder="1" applyAlignment="1">
      <alignment horizontal="center"/>
    </xf>
    <xf numFmtId="4" fontId="67" fillId="6" borderId="13" xfId="0" applyNumberFormat="1" applyFont="1" applyFill="1" applyBorder="1" applyAlignment="1">
      <alignment horizontal="left"/>
    </xf>
    <xf numFmtId="4" fontId="67" fillId="6" borderId="41" xfId="0" applyNumberFormat="1" applyFont="1" applyFill="1" applyBorder="1" applyAlignment="1">
      <alignment horizontal="left"/>
    </xf>
    <xf numFmtId="0" fontId="67" fillId="6" borderId="27" xfId="0" applyFont="1" applyFill="1" applyBorder="1" applyAlignment="1">
      <alignment horizontal="center" vertical="center"/>
    </xf>
    <xf numFmtId="0" fontId="67" fillId="6" borderId="28" xfId="0" applyFont="1" applyFill="1" applyBorder="1" applyAlignment="1">
      <alignment horizontal="center" vertical="center"/>
    </xf>
    <xf numFmtId="0" fontId="67" fillId="6" borderId="29" xfId="0" applyFont="1" applyFill="1" applyBorder="1" applyAlignment="1">
      <alignment horizontal="center" vertical="center"/>
    </xf>
    <xf numFmtId="4" fontId="34" fillId="6" borderId="0" xfId="0" applyNumberFormat="1" applyFont="1" applyFill="1" applyAlignment="1">
      <alignment horizontal="left"/>
    </xf>
    <xf numFmtId="4" fontId="67" fillId="6" borderId="0" xfId="0" applyNumberFormat="1" applyFont="1" applyFill="1" applyAlignment="1">
      <alignment horizontal="left"/>
    </xf>
  </cellXfs>
  <cellStyles count="6">
    <cellStyle name="60% - Énfasis1" xfId="1" builtinId="32"/>
    <cellStyle name="Normal" xfId="0" builtinId="0"/>
    <cellStyle name="Normal 2" xfId="2"/>
    <cellStyle name="Normal 3" xfId="3"/>
    <cellStyle name="Normal 4" xfId="4"/>
    <cellStyle name="Normal 5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A4FD95"/>
      <color rgb="FF90FAD2"/>
      <color rgb="FF99FFCC"/>
      <color rgb="FF64DAF6"/>
      <color rgb="FFF99DFB"/>
      <color rgb="FFCC66FF"/>
      <color rgb="FFA6B4FC"/>
      <color rgb="FFD5A2FC"/>
      <color rgb="FF9999FF"/>
      <color rgb="FFEFFE9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PERFIL CREAGER</a:t>
            </a:r>
          </a:p>
        </c:rich>
      </c:tx>
      <c:layout>
        <c:manualLayout>
          <c:xMode val="edge"/>
          <c:yMode val="edge"/>
          <c:x val="0.27730705797625482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0380659816626059"/>
          <c:y val="0.23535155380519784"/>
          <c:w val="0.84509468827607448"/>
          <c:h val="0.69868851777876062"/>
        </c:manualLayout>
      </c:layout>
      <c:scatterChart>
        <c:scatterStyle val="lineMarker"/>
        <c:varyColors val="0"/>
        <c:ser>
          <c:idx val="0"/>
          <c:order val="0"/>
          <c:spPr>
            <a:ln w="9525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xVal>
            <c:numRef>
              <c:f>'DISEÑO HIDRAULICO'!$C$125:$C$135</c:f>
              <c:numCache>
                <c:formatCode>0.00</c:formatCode>
                <c:ptCount val="11"/>
                <c:pt idx="0">
                  <c:v>0</c:v>
                </c:pt>
                <c:pt idx="1">
                  <c:v>0.44128406917265695</c:v>
                </c:pt>
                <c:pt idx="2">
                  <c:v>0.88256813834531389</c:v>
                </c:pt>
                <c:pt idx="3">
                  <c:v>1.3238522075179711</c:v>
                </c:pt>
                <c:pt idx="4">
                  <c:v>1.7651362766906278</c:v>
                </c:pt>
                <c:pt idx="5">
                  <c:v>2.2064203458632847</c:v>
                </c:pt>
                <c:pt idx="6">
                  <c:v>2.6477044150359417</c:v>
                </c:pt>
                <c:pt idx="7">
                  <c:v>3.0889884842085986</c:v>
                </c:pt>
                <c:pt idx="8">
                  <c:v>3.5302725533812551</c:v>
                </c:pt>
                <c:pt idx="9">
                  <c:v>3.9715566225539121</c:v>
                </c:pt>
                <c:pt idx="10">
                  <c:v>4.4128406917265686</c:v>
                </c:pt>
              </c:numCache>
            </c:numRef>
          </c:xVal>
          <c:yVal>
            <c:numRef>
              <c:f>'DISEÑO HIDRAULICO'!$E$125:$E$135</c:f>
              <c:numCache>
                <c:formatCode>0.000</c:formatCode>
                <c:ptCount val="11"/>
                <c:pt idx="0">
                  <c:v>0.55601792715754772</c:v>
                </c:pt>
                <c:pt idx="1">
                  <c:v>0.15886226490215649</c:v>
                </c:pt>
                <c:pt idx="2">
                  <c:v>3.0889884842085987E-2</c:v>
                </c:pt>
                <c:pt idx="3">
                  <c:v>0</c:v>
                </c:pt>
                <c:pt idx="4">
                  <c:v>2.6477044150359418E-2</c:v>
                </c:pt>
                <c:pt idx="5">
                  <c:v>0.11032101729316424</c:v>
                </c:pt>
                <c:pt idx="6">
                  <c:v>0.26477044150359413</c:v>
                </c:pt>
                <c:pt idx="7">
                  <c:v>0.43245838778920381</c:v>
                </c:pt>
                <c:pt idx="8">
                  <c:v>0.64868758168380569</c:v>
                </c:pt>
                <c:pt idx="9">
                  <c:v>0.87374245696186081</c:v>
                </c:pt>
                <c:pt idx="10">
                  <c:v>1.1296872170820018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C52-460D-8A50-5962A09AEF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7479008"/>
        <c:axId val="197476832"/>
      </c:scatterChart>
      <c:valAx>
        <c:axId val="197479008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97476832"/>
        <c:crosses val="autoZero"/>
        <c:crossBetween val="midCat"/>
      </c:valAx>
      <c:valAx>
        <c:axId val="197476832"/>
        <c:scaling>
          <c:orientation val="maxMin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9747900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532935437096831"/>
          <c:y val="4.9567619836994176E-2"/>
          <c:w val="0.7981166538401836"/>
          <c:h val="0.8126836776981845"/>
        </c:manualLayout>
      </c:layout>
      <c:scatterChart>
        <c:scatterStyle val="smoothMarker"/>
        <c:varyColors val="0"/>
        <c:ser>
          <c:idx val="1"/>
          <c:order val="0"/>
          <c:spPr>
            <a:ln w="9525" cap="rnd">
              <a:solidFill>
                <a:schemeClr val="accent2">
                  <a:tint val="77000"/>
                </a:schemeClr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xVal>
            <c:numRef>
              <c:f>LONGMUROS!$O$25:$O$35</c:f>
              <c:numCache>
                <c:formatCode>0.000</c:formatCode>
                <c:ptCount val="11"/>
                <c:pt idx="0">
                  <c:v>0</c:v>
                </c:pt>
                <c:pt idx="1">
                  <c:v>50.273890638745939</c:v>
                </c:pt>
                <c:pt idx="2">
                  <c:v>70.153765918231045</c:v>
                </c:pt>
                <c:pt idx="3">
                  <c:v>81.46888074476179</c:v>
                </c:pt>
                <c:pt idx="4">
                  <c:v>88.780188530124306</c:v>
                </c:pt>
                <c:pt idx="5">
                  <c:v>93.791622046627737</c:v>
                </c:pt>
                <c:pt idx="6">
                  <c:v>97.322834284287467</c:v>
                </c:pt>
                <c:pt idx="7">
                  <c:v>99.829934958910187</c:v>
                </c:pt>
                <c:pt idx="8">
                  <c:v>101.59214418514145</c:v>
                </c:pt>
                <c:pt idx="9">
                  <c:v>102.79232080033492</c:v>
                </c:pt>
                <c:pt idx="10">
                  <c:v>103.55638139437777</c:v>
                </c:pt>
              </c:numCache>
            </c:numRef>
          </c:xVal>
          <c:yVal>
            <c:numRef>
              <c:f>LONGMUROS!$B$25:$B$35</c:f>
              <c:numCache>
                <c:formatCode>0.000</c:formatCode>
                <c:ptCount val="11"/>
                <c:pt idx="0">
                  <c:v>2.1711144827992555</c:v>
                </c:pt>
                <c:pt idx="1">
                  <c:v>2.3020030345193301</c:v>
                </c:pt>
                <c:pt idx="2">
                  <c:v>2.4328915862394047</c:v>
                </c:pt>
                <c:pt idx="3">
                  <c:v>2.5637801379594793</c:v>
                </c:pt>
                <c:pt idx="4">
                  <c:v>2.694668689679554</c:v>
                </c:pt>
                <c:pt idx="5">
                  <c:v>2.8255572413996286</c:v>
                </c:pt>
                <c:pt idx="6">
                  <c:v>2.9564457931197032</c:v>
                </c:pt>
                <c:pt idx="7">
                  <c:v>3.0873343448397779</c:v>
                </c:pt>
                <c:pt idx="8">
                  <c:v>3.2182228965598525</c:v>
                </c:pt>
                <c:pt idx="9">
                  <c:v>3.3491114482799271</c:v>
                </c:pt>
                <c:pt idx="10">
                  <c:v>3.4800000000000018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BCC-4EE7-B39B-2449E73AD6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7477376"/>
        <c:axId val="197468672"/>
      </c:scatterChart>
      <c:valAx>
        <c:axId val="1974773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97468672"/>
        <c:crosses val="autoZero"/>
        <c:crossBetween val="midCat"/>
        <c:majorUnit val="20"/>
        <c:minorUnit val="1"/>
      </c:valAx>
      <c:valAx>
        <c:axId val="197468672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97477376"/>
        <c:crosses val="autoZero"/>
        <c:crossBetween val="midCat"/>
        <c:majorUnit val="0.5"/>
        <c:minorUnit val="0.0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style1.xml><?xml version="1.0" encoding="utf-8"?>
<cs:chartStyle xmlns:cs="http://schemas.microsoft.com/office/drawing/2012/chartStyle" xmlns:a="http://schemas.openxmlformats.org/drawingml/2006/main" id="248">
  <cs:axisTitle>
    <cs:lnRef idx="0"/>
    <cs:fillRef idx="0"/>
    <cs:effectRef idx="0"/>
    <cs:fontRef idx="minor">
      <a:schemeClr val="lt1">
        <a:lumMod val="7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48">
  <cs:axisTitle>
    <cs:lnRef idx="0"/>
    <cs:fillRef idx="0"/>
    <cs:effectRef idx="0"/>
    <cs:fontRef idx="minor">
      <a:schemeClr val="lt1">
        <a:lumMod val="7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7.png"/><Relationship Id="rId3" Type="http://schemas.openxmlformats.org/officeDocument/2006/relationships/image" Target="../media/image23.png"/><Relationship Id="rId7" Type="http://schemas.openxmlformats.org/officeDocument/2006/relationships/chart" Target="../charts/chart1.xml"/><Relationship Id="rId2" Type="http://schemas.openxmlformats.org/officeDocument/2006/relationships/image" Target="../media/image22.emf"/><Relationship Id="rId1" Type="http://schemas.openxmlformats.org/officeDocument/2006/relationships/image" Target="../media/image21.emf"/><Relationship Id="rId6" Type="http://schemas.openxmlformats.org/officeDocument/2006/relationships/image" Target="../media/image26.png"/><Relationship Id="rId5" Type="http://schemas.openxmlformats.org/officeDocument/2006/relationships/image" Target="../media/image25.png"/><Relationship Id="rId4" Type="http://schemas.openxmlformats.org/officeDocument/2006/relationships/image" Target="../media/image24.png"/><Relationship Id="rId9" Type="http://schemas.openxmlformats.org/officeDocument/2006/relationships/image" Target="../media/image28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50.png"/><Relationship Id="rId3" Type="http://schemas.openxmlformats.org/officeDocument/2006/relationships/image" Target="../media/image45.emf"/><Relationship Id="rId7" Type="http://schemas.openxmlformats.org/officeDocument/2006/relationships/image" Target="../media/image49.png"/><Relationship Id="rId2" Type="http://schemas.openxmlformats.org/officeDocument/2006/relationships/image" Target="../media/image44.emf"/><Relationship Id="rId1" Type="http://schemas.openxmlformats.org/officeDocument/2006/relationships/image" Target="../media/image43.emf"/><Relationship Id="rId6" Type="http://schemas.openxmlformats.org/officeDocument/2006/relationships/image" Target="../media/image48.emf"/><Relationship Id="rId5" Type="http://schemas.openxmlformats.org/officeDocument/2006/relationships/image" Target="../media/image47.emf"/><Relationship Id="rId4" Type="http://schemas.openxmlformats.org/officeDocument/2006/relationships/image" Target="../media/image46.emf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13" Type="http://schemas.openxmlformats.org/officeDocument/2006/relationships/image" Target="../media/image13.wmf"/><Relationship Id="rId18" Type="http://schemas.openxmlformats.org/officeDocument/2006/relationships/image" Target="../media/image18.emf"/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12" Type="http://schemas.openxmlformats.org/officeDocument/2006/relationships/image" Target="../media/image12.emf"/><Relationship Id="rId17" Type="http://schemas.openxmlformats.org/officeDocument/2006/relationships/image" Target="../media/image17.emf"/><Relationship Id="rId2" Type="http://schemas.openxmlformats.org/officeDocument/2006/relationships/image" Target="../media/image2.emf"/><Relationship Id="rId16" Type="http://schemas.openxmlformats.org/officeDocument/2006/relationships/image" Target="../media/image16.wmf"/><Relationship Id="rId20" Type="http://schemas.openxmlformats.org/officeDocument/2006/relationships/image" Target="../media/image20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5" Type="http://schemas.openxmlformats.org/officeDocument/2006/relationships/image" Target="../media/image5.emf"/><Relationship Id="rId15" Type="http://schemas.openxmlformats.org/officeDocument/2006/relationships/image" Target="../media/image15.png"/><Relationship Id="rId10" Type="http://schemas.openxmlformats.org/officeDocument/2006/relationships/image" Target="../media/image10.emf"/><Relationship Id="rId19" Type="http://schemas.openxmlformats.org/officeDocument/2006/relationships/image" Target="../media/image19.emf"/><Relationship Id="rId4" Type="http://schemas.openxmlformats.org/officeDocument/2006/relationships/image" Target="../media/image4.emf"/><Relationship Id="rId9" Type="http://schemas.openxmlformats.org/officeDocument/2006/relationships/image" Target="../media/image9.emf"/><Relationship Id="rId14" Type="http://schemas.openxmlformats.org/officeDocument/2006/relationships/image" Target="../media/image14.emf"/></Relationships>
</file>

<file path=xl/drawings/_rels/vmlDrawing2.vml.rels><?xml version="1.0" encoding="UTF-8" standalone="yes"?>
<Relationships xmlns="http://schemas.openxmlformats.org/package/2006/relationships"><Relationship Id="rId8" Type="http://schemas.openxmlformats.org/officeDocument/2006/relationships/image" Target="../media/image36.emf"/><Relationship Id="rId3" Type="http://schemas.openxmlformats.org/officeDocument/2006/relationships/image" Target="../media/image31.emf"/><Relationship Id="rId7" Type="http://schemas.openxmlformats.org/officeDocument/2006/relationships/image" Target="../media/image35.emf"/><Relationship Id="rId2" Type="http://schemas.openxmlformats.org/officeDocument/2006/relationships/image" Target="../media/image30.wmf"/><Relationship Id="rId1" Type="http://schemas.openxmlformats.org/officeDocument/2006/relationships/image" Target="../media/image29.wmf"/><Relationship Id="rId6" Type="http://schemas.openxmlformats.org/officeDocument/2006/relationships/image" Target="../media/image34.emf"/><Relationship Id="rId5" Type="http://schemas.openxmlformats.org/officeDocument/2006/relationships/image" Target="../media/image33.emf"/><Relationship Id="rId4" Type="http://schemas.openxmlformats.org/officeDocument/2006/relationships/image" Target="../media/image32.emf"/><Relationship Id="rId9" Type="http://schemas.openxmlformats.org/officeDocument/2006/relationships/image" Target="../media/image37.emf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40.emf"/><Relationship Id="rId2" Type="http://schemas.openxmlformats.org/officeDocument/2006/relationships/image" Target="../media/image39.emf"/><Relationship Id="rId1" Type="http://schemas.openxmlformats.org/officeDocument/2006/relationships/image" Target="../media/image38.wmf"/><Relationship Id="rId5" Type="http://schemas.openxmlformats.org/officeDocument/2006/relationships/image" Target="../media/image42.emf"/><Relationship Id="rId4" Type="http://schemas.openxmlformats.org/officeDocument/2006/relationships/image" Target="../media/image4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403409</xdr:colOff>
      <xdr:row>164</xdr:row>
      <xdr:rowOff>23532</xdr:rowOff>
    </xdr:from>
    <xdr:to>
      <xdr:col>10</xdr:col>
      <xdr:colOff>328326</xdr:colOff>
      <xdr:row>169</xdr:row>
      <xdr:rowOff>99731</xdr:rowOff>
    </xdr:to>
    <xdr:pic>
      <xdr:nvPicPr>
        <xdr:cNvPr id="15551" name="Picture 10">
          <a:extLst>
            <a:ext uri="{FF2B5EF4-FFF2-40B4-BE49-F238E27FC236}">
              <a16:creationId xmlns:a16="http://schemas.microsoft.com/office/drawing/2014/main" id="{00000000-0008-0000-0000-0000BF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duotone>
            <a:schemeClr val="accent2">
              <a:shade val="45000"/>
              <a:satMod val="135000"/>
            </a:schemeClr>
            <a:prstClr val="white"/>
          </a:duotone>
        </a:blip>
        <a:srcRect l="3072" t="9682" r="7230" b="15628"/>
        <a:stretch>
          <a:fillRect/>
        </a:stretch>
      </xdr:blipFill>
      <xdr:spPr bwMode="auto">
        <a:xfrm>
          <a:off x="4727759" y="34475457"/>
          <a:ext cx="3372967" cy="112395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6</xdr:col>
      <xdr:colOff>494979</xdr:colOff>
      <xdr:row>107</xdr:row>
      <xdr:rowOff>176893</xdr:rowOff>
    </xdr:from>
    <xdr:to>
      <xdr:col>11</xdr:col>
      <xdr:colOff>213373</xdr:colOff>
      <xdr:row>113</xdr:row>
      <xdr:rowOff>129268</xdr:rowOff>
    </xdr:to>
    <xdr:pic>
      <xdr:nvPicPr>
        <xdr:cNvPr id="15552" name="Picture 22">
          <a:extLst>
            <a:ext uri="{FF2B5EF4-FFF2-40B4-BE49-F238E27FC236}">
              <a16:creationId xmlns:a16="http://schemas.microsoft.com/office/drawing/2014/main" id="{00000000-0008-0000-0000-0000C0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5">
              <a:tint val="45000"/>
              <a:satMod val="400000"/>
            </a:schemeClr>
          </a:duotone>
        </a:blip>
        <a:srcRect b="22392"/>
        <a:stretch>
          <a:fillRect/>
        </a:stretch>
      </xdr:blipFill>
      <xdr:spPr bwMode="auto">
        <a:xfrm>
          <a:off x="4822050" y="22002750"/>
          <a:ext cx="4018252" cy="1177018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>
    <xdr:from>
      <xdr:col>4</xdr:col>
      <xdr:colOff>714559</xdr:colOff>
      <xdr:row>94</xdr:row>
      <xdr:rowOff>5732</xdr:rowOff>
    </xdr:from>
    <xdr:to>
      <xdr:col>7</xdr:col>
      <xdr:colOff>501864</xdr:colOff>
      <xdr:row>99</xdr:row>
      <xdr:rowOff>173852</xdr:rowOff>
    </xdr:to>
    <xdr:pic>
      <xdr:nvPicPr>
        <xdr:cNvPr id="15560" name="Picture 200">
          <a:extLst>
            <a:ext uri="{FF2B5EF4-FFF2-40B4-BE49-F238E27FC236}">
              <a16:creationId xmlns:a16="http://schemas.microsoft.com/office/drawing/2014/main" id="{00000000-0008-0000-0000-0000C8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duotone>
            <a:prstClr val="black"/>
            <a:schemeClr val="accent5">
              <a:tint val="45000"/>
              <a:satMod val="400000"/>
            </a:schemeClr>
          </a:duotone>
        </a:blip>
        <a:srcRect l="17355" r="20221" b="81607"/>
        <a:stretch>
          <a:fillRect/>
        </a:stretch>
      </xdr:blipFill>
      <xdr:spPr bwMode="auto">
        <a:xfrm>
          <a:off x="3354345" y="19178196"/>
          <a:ext cx="2399876" cy="1188656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>
    <xdr:from>
      <xdr:col>7</xdr:col>
      <xdr:colOff>685062</xdr:colOff>
      <xdr:row>94</xdr:row>
      <xdr:rowOff>28173</xdr:rowOff>
    </xdr:from>
    <xdr:to>
      <xdr:col>9</xdr:col>
      <xdr:colOff>184257</xdr:colOff>
      <xdr:row>99</xdr:row>
      <xdr:rowOff>164606</xdr:rowOff>
    </xdr:to>
    <xdr:pic>
      <xdr:nvPicPr>
        <xdr:cNvPr id="15563" name="Picture 203" descr="b">
          <a:extLst>
            <a:ext uri="{FF2B5EF4-FFF2-40B4-BE49-F238E27FC236}">
              <a16:creationId xmlns:a16="http://schemas.microsoft.com/office/drawing/2014/main" id="{00000000-0008-0000-0000-0000CB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duotone>
            <a:prstClr val="black"/>
            <a:schemeClr val="accent5">
              <a:tint val="45000"/>
              <a:satMod val="400000"/>
            </a:schemeClr>
          </a:duotone>
        </a:blip>
        <a:srcRect l="21608" t="29424" r="46548" b="10883"/>
        <a:stretch>
          <a:fillRect/>
        </a:stretch>
      </xdr:blipFill>
      <xdr:spPr bwMode="auto">
        <a:xfrm>
          <a:off x="5937419" y="19200637"/>
          <a:ext cx="1186481" cy="1156969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>
    <xdr:from>
      <xdr:col>1</xdr:col>
      <xdr:colOff>230797</xdr:colOff>
      <xdr:row>222</xdr:row>
      <xdr:rowOff>142873</xdr:rowOff>
    </xdr:from>
    <xdr:to>
      <xdr:col>8</xdr:col>
      <xdr:colOff>0</xdr:colOff>
      <xdr:row>232</xdr:row>
      <xdr:rowOff>145186</xdr:rowOff>
    </xdr:to>
    <xdr:pic>
      <xdr:nvPicPr>
        <xdr:cNvPr id="15565" name="Picture 205" descr="b">
          <a:extLst>
            <a:ext uri="{FF2B5EF4-FFF2-40B4-BE49-F238E27FC236}">
              <a16:creationId xmlns:a16="http://schemas.microsoft.com/office/drawing/2014/main" id="{00000000-0008-0000-0000-0000CD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duotone>
            <a:schemeClr val="accent2">
              <a:shade val="45000"/>
              <a:satMod val="135000"/>
            </a:schemeClr>
            <a:prstClr val="white"/>
          </a:duotone>
        </a:blip>
        <a:srcRect l="24237" r="3701"/>
        <a:stretch>
          <a:fillRect/>
        </a:stretch>
      </xdr:blipFill>
      <xdr:spPr bwMode="auto">
        <a:xfrm>
          <a:off x="868972" y="46834423"/>
          <a:ext cx="5227028" cy="2097813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>
    <xdr:from>
      <xdr:col>2</xdr:col>
      <xdr:colOff>511420</xdr:colOff>
      <xdr:row>224</xdr:row>
      <xdr:rowOff>98914</xdr:rowOff>
    </xdr:from>
    <xdr:to>
      <xdr:col>2</xdr:col>
      <xdr:colOff>682869</xdr:colOff>
      <xdr:row>225</xdr:row>
      <xdr:rowOff>51289</xdr:rowOff>
    </xdr:to>
    <xdr:sp macro="" textlink="">
      <xdr:nvSpPr>
        <xdr:cNvPr id="15571" name="AutoShape 211">
          <a:extLst>
            <a:ext uri="{FF2B5EF4-FFF2-40B4-BE49-F238E27FC236}">
              <a16:creationId xmlns:a16="http://schemas.microsoft.com/office/drawing/2014/main" id="{00000000-0008-0000-0000-0000D33C0000}"/>
            </a:ext>
          </a:extLst>
        </xdr:cNvPr>
        <xdr:cNvSpPr>
          <a:spLocks noChangeShapeType="1"/>
        </xdr:cNvSpPr>
      </xdr:nvSpPr>
      <xdr:spPr bwMode="auto">
        <a:xfrm>
          <a:off x="759070" y="45371239"/>
          <a:ext cx="171449" cy="142875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</xdr:col>
      <xdr:colOff>202827</xdr:colOff>
      <xdr:row>207</xdr:row>
      <xdr:rowOff>166962</xdr:rowOff>
    </xdr:from>
    <xdr:to>
      <xdr:col>7</xdr:col>
      <xdr:colOff>841002</xdr:colOff>
      <xdr:row>220</xdr:row>
      <xdr:rowOff>37260</xdr:rowOff>
    </xdr:to>
    <xdr:pic>
      <xdr:nvPicPr>
        <xdr:cNvPr id="15572" name="Picture 212" descr="b">
          <a:extLst>
            <a:ext uri="{FF2B5EF4-FFF2-40B4-BE49-F238E27FC236}">
              <a16:creationId xmlns:a16="http://schemas.microsoft.com/office/drawing/2014/main" id="{00000000-0008-0000-0000-0000D4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duotone>
            <a:schemeClr val="accent2">
              <a:shade val="45000"/>
              <a:satMod val="135000"/>
            </a:schemeClr>
            <a:prstClr val="white"/>
          </a:duotone>
        </a:blip>
        <a:srcRect/>
        <a:stretch>
          <a:fillRect/>
        </a:stretch>
      </xdr:blipFill>
      <xdr:spPr bwMode="auto">
        <a:xfrm>
          <a:off x="850527" y="43753362"/>
          <a:ext cx="5267325" cy="2594448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>
    <xdr:from>
      <xdr:col>6</xdr:col>
      <xdr:colOff>390525</xdr:colOff>
      <xdr:row>123</xdr:row>
      <xdr:rowOff>104775</xdr:rowOff>
    </xdr:from>
    <xdr:to>
      <xdr:col>10</xdr:col>
      <xdr:colOff>400050</xdr:colOff>
      <xdr:row>135</xdr:row>
      <xdr:rowOff>9525</xdr:rowOff>
    </xdr:to>
    <xdr:graphicFrame macro="">
      <xdr:nvGraphicFramePr>
        <xdr:cNvPr id="33" name="32 Gráfico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19050</xdr:colOff>
          <xdr:row>22</xdr:row>
          <xdr:rowOff>9525</xdr:rowOff>
        </xdr:from>
        <xdr:to>
          <xdr:col>4</xdr:col>
          <xdr:colOff>0</xdr:colOff>
          <xdr:row>24</xdr:row>
          <xdr:rowOff>19050</xdr:rowOff>
        </xdr:to>
        <xdr:sp macro="" textlink="">
          <xdr:nvSpPr>
            <xdr:cNvPr id="15361" name="Object 1" hidden="1">
              <a:extLst>
                <a:ext uri="{63B3BB69-23CF-44E3-9099-C40C66FF867C}">
                  <a14:compatExt spid="_x0000_s15361"/>
                </a:ext>
                <a:ext uri="{FF2B5EF4-FFF2-40B4-BE49-F238E27FC236}">
                  <a16:creationId xmlns:a16="http://schemas.microsoft.com/office/drawing/2014/main" id="{00000000-0008-0000-0000-000001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19050</xdr:colOff>
          <xdr:row>27</xdr:row>
          <xdr:rowOff>180975</xdr:rowOff>
        </xdr:from>
        <xdr:to>
          <xdr:col>3</xdr:col>
          <xdr:colOff>647700</xdr:colOff>
          <xdr:row>30</xdr:row>
          <xdr:rowOff>38100</xdr:rowOff>
        </xdr:to>
        <xdr:sp macro="" textlink="">
          <xdr:nvSpPr>
            <xdr:cNvPr id="15362" name="Object 2" hidden="1">
              <a:extLst>
                <a:ext uri="{63B3BB69-23CF-44E3-9099-C40C66FF867C}">
                  <a14:compatExt spid="_x0000_s15362"/>
                </a:ext>
                <a:ext uri="{FF2B5EF4-FFF2-40B4-BE49-F238E27FC236}">
                  <a16:creationId xmlns:a16="http://schemas.microsoft.com/office/drawing/2014/main" id="{00000000-0008-0000-0000-000002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19050</xdr:colOff>
          <xdr:row>34</xdr:row>
          <xdr:rowOff>38100</xdr:rowOff>
        </xdr:from>
        <xdr:to>
          <xdr:col>3</xdr:col>
          <xdr:colOff>419100</xdr:colOff>
          <xdr:row>36</xdr:row>
          <xdr:rowOff>38100</xdr:rowOff>
        </xdr:to>
        <xdr:sp macro="" textlink="">
          <xdr:nvSpPr>
            <xdr:cNvPr id="15363" name="Object 3" hidden="1">
              <a:extLst>
                <a:ext uri="{63B3BB69-23CF-44E3-9099-C40C66FF867C}">
                  <a14:compatExt spid="_x0000_s15363"/>
                </a:ext>
                <a:ext uri="{FF2B5EF4-FFF2-40B4-BE49-F238E27FC236}">
                  <a16:creationId xmlns:a16="http://schemas.microsoft.com/office/drawing/2014/main" id="{00000000-0008-0000-0000-000003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28575</xdr:colOff>
          <xdr:row>51</xdr:row>
          <xdr:rowOff>104775</xdr:rowOff>
        </xdr:from>
        <xdr:to>
          <xdr:col>3</xdr:col>
          <xdr:colOff>571500</xdr:colOff>
          <xdr:row>53</xdr:row>
          <xdr:rowOff>171450</xdr:rowOff>
        </xdr:to>
        <xdr:sp macro="" textlink="">
          <xdr:nvSpPr>
            <xdr:cNvPr id="15364" name="Object 4" hidden="1">
              <a:extLst>
                <a:ext uri="{63B3BB69-23CF-44E3-9099-C40C66FF867C}">
                  <a14:compatExt spid="_x0000_s15364"/>
                </a:ext>
                <a:ext uri="{FF2B5EF4-FFF2-40B4-BE49-F238E27FC236}">
                  <a16:creationId xmlns:a16="http://schemas.microsoft.com/office/drawing/2014/main" id="{00000000-0008-0000-0000-000004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180975</xdr:colOff>
          <xdr:row>57</xdr:row>
          <xdr:rowOff>85725</xdr:rowOff>
        </xdr:from>
        <xdr:to>
          <xdr:col>3</xdr:col>
          <xdr:colOff>752475</xdr:colOff>
          <xdr:row>59</xdr:row>
          <xdr:rowOff>171450</xdr:rowOff>
        </xdr:to>
        <xdr:sp macro="" textlink="">
          <xdr:nvSpPr>
            <xdr:cNvPr id="15365" name="Object 5" hidden="1">
              <a:extLst>
                <a:ext uri="{63B3BB69-23CF-44E3-9099-C40C66FF867C}">
                  <a14:compatExt spid="_x0000_s15365"/>
                </a:ext>
                <a:ext uri="{FF2B5EF4-FFF2-40B4-BE49-F238E27FC236}">
                  <a16:creationId xmlns:a16="http://schemas.microsoft.com/office/drawing/2014/main" id="{00000000-0008-0000-0000-000005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19050</xdr:colOff>
          <xdr:row>81</xdr:row>
          <xdr:rowOff>76200</xdr:rowOff>
        </xdr:from>
        <xdr:to>
          <xdr:col>5</xdr:col>
          <xdr:colOff>266700</xdr:colOff>
          <xdr:row>83</xdr:row>
          <xdr:rowOff>161925</xdr:rowOff>
        </xdr:to>
        <xdr:sp macro="" textlink="">
          <xdr:nvSpPr>
            <xdr:cNvPr id="15366" name="Object 6" hidden="1">
              <a:extLst>
                <a:ext uri="{63B3BB69-23CF-44E3-9099-C40C66FF867C}">
                  <a14:compatExt spid="_x0000_s15366"/>
                </a:ext>
                <a:ext uri="{FF2B5EF4-FFF2-40B4-BE49-F238E27FC236}">
                  <a16:creationId xmlns:a16="http://schemas.microsoft.com/office/drawing/2014/main" id="{00000000-0008-0000-0000-000006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228600</xdr:colOff>
          <xdr:row>85</xdr:row>
          <xdr:rowOff>38100</xdr:rowOff>
        </xdr:from>
        <xdr:to>
          <xdr:col>4</xdr:col>
          <xdr:colOff>419100</xdr:colOff>
          <xdr:row>88</xdr:row>
          <xdr:rowOff>47625</xdr:rowOff>
        </xdr:to>
        <xdr:sp macro="" textlink="">
          <xdr:nvSpPr>
            <xdr:cNvPr id="15367" name="Object 7" hidden="1">
              <a:extLst>
                <a:ext uri="{63B3BB69-23CF-44E3-9099-C40C66FF867C}">
                  <a14:compatExt spid="_x0000_s15367"/>
                </a:ext>
                <a:ext uri="{FF2B5EF4-FFF2-40B4-BE49-F238E27FC236}">
                  <a16:creationId xmlns:a16="http://schemas.microsoft.com/office/drawing/2014/main" id="{00000000-0008-0000-0000-000007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38100</xdr:colOff>
          <xdr:row>144</xdr:row>
          <xdr:rowOff>95250</xdr:rowOff>
        </xdr:from>
        <xdr:to>
          <xdr:col>3</xdr:col>
          <xdr:colOff>552450</xdr:colOff>
          <xdr:row>146</xdr:row>
          <xdr:rowOff>66675</xdr:rowOff>
        </xdr:to>
        <xdr:sp macro="" textlink="">
          <xdr:nvSpPr>
            <xdr:cNvPr id="15368" name="Object 8" hidden="1">
              <a:extLst>
                <a:ext uri="{63B3BB69-23CF-44E3-9099-C40C66FF867C}">
                  <a14:compatExt spid="_x0000_s15368"/>
                </a:ext>
                <a:ext uri="{FF2B5EF4-FFF2-40B4-BE49-F238E27FC236}">
                  <a16:creationId xmlns:a16="http://schemas.microsoft.com/office/drawing/2014/main" id="{00000000-0008-0000-0000-000008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104775</xdr:colOff>
          <xdr:row>166</xdr:row>
          <xdr:rowOff>66675</xdr:rowOff>
        </xdr:from>
        <xdr:to>
          <xdr:col>5</xdr:col>
          <xdr:colOff>9525</xdr:colOff>
          <xdr:row>168</xdr:row>
          <xdr:rowOff>114300</xdr:rowOff>
        </xdr:to>
        <xdr:sp macro="" textlink="">
          <xdr:nvSpPr>
            <xdr:cNvPr id="15369" name="Object 9" hidden="1">
              <a:extLst>
                <a:ext uri="{63B3BB69-23CF-44E3-9099-C40C66FF867C}">
                  <a14:compatExt spid="_x0000_s15369"/>
                </a:ext>
                <a:ext uri="{FF2B5EF4-FFF2-40B4-BE49-F238E27FC236}">
                  <a16:creationId xmlns:a16="http://schemas.microsoft.com/office/drawing/2014/main" id="{00000000-0008-0000-0000-000009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95250</xdr:colOff>
          <xdr:row>185</xdr:row>
          <xdr:rowOff>0</xdr:rowOff>
        </xdr:from>
        <xdr:to>
          <xdr:col>4</xdr:col>
          <xdr:colOff>19050</xdr:colOff>
          <xdr:row>185</xdr:row>
          <xdr:rowOff>0</xdr:rowOff>
        </xdr:to>
        <xdr:sp macro="" textlink="">
          <xdr:nvSpPr>
            <xdr:cNvPr id="15370" name="Object 10" hidden="1">
              <a:extLst>
                <a:ext uri="{63B3BB69-23CF-44E3-9099-C40C66FF867C}">
                  <a14:compatExt spid="_x0000_s15370"/>
                </a:ext>
                <a:ext uri="{FF2B5EF4-FFF2-40B4-BE49-F238E27FC236}">
                  <a16:creationId xmlns:a16="http://schemas.microsoft.com/office/drawing/2014/main" id="{00000000-0008-0000-0000-00000A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47625</xdr:colOff>
          <xdr:row>248</xdr:row>
          <xdr:rowOff>38100</xdr:rowOff>
        </xdr:from>
        <xdr:to>
          <xdr:col>5</xdr:col>
          <xdr:colOff>542925</xdr:colOff>
          <xdr:row>256</xdr:row>
          <xdr:rowOff>123825</xdr:rowOff>
        </xdr:to>
        <xdr:sp macro="" textlink="">
          <xdr:nvSpPr>
            <xdr:cNvPr id="15378" name="Object 18" hidden="1">
              <a:extLst>
                <a:ext uri="{63B3BB69-23CF-44E3-9099-C40C66FF867C}">
                  <a14:compatExt spid="_x0000_s15378"/>
                </a:ext>
                <a:ext uri="{FF2B5EF4-FFF2-40B4-BE49-F238E27FC236}">
                  <a16:creationId xmlns:a16="http://schemas.microsoft.com/office/drawing/2014/main" id="{00000000-0008-0000-0000-000012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571500</xdr:colOff>
          <xdr:row>264</xdr:row>
          <xdr:rowOff>104775</xdr:rowOff>
        </xdr:from>
        <xdr:to>
          <xdr:col>3</xdr:col>
          <xdr:colOff>771525</xdr:colOff>
          <xdr:row>265</xdr:row>
          <xdr:rowOff>152400</xdr:rowOff>
        </xdr:to>
        <xdr:sp macro="" textlink="">
          <xdr:nvSpPr>
            <xdr:cNvPr id="15383" name="Object 23" hidden="1">
              <a:extLst>
                <a:ext uri="{63B3BB69-23CF-44E3-9099-C40C66FF867C}">
                  <a14:compatExt spid="_x0000_s15383"/>
                </a:ext>
                <a:ext uri="{FF2B5EF4-FFF2-40B4-BE49-F238E27FC236}">
                  <a16:creationId xmlns:a16="http://schemas.microsoft.com/office/drawing/2014/main" id="{00000000-0008-0000-0000-000017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600075</xdr:colOff>
          <xdr:row>273</xdr:row>
          <xdr:rowOff>76200</xdr:rowOff>
        </xdr:from>
        <xdr:to>
          <xdr:col>3</xdr:col>
          <xdr:colOff>533400</xdr:colOff>
          <xdr:row>275</xdr:row>
          <xdr:rowOff>142875</xdr:rowOff>
        </xdr:to>
        <xdr:sp macro="" textlink="">
          <xdr:nvSpPr>
            <xdr:cNvPr id="15384" name="Object 24" hidden="1">
              <a:extLst>
                <a:ext uri="{63B3BB69-23CF-44E3-9099-C40C66FF867C}">
                  <a14:compatExt spid="_x0000_s15384"/>
                </a:ext>
                <a:ext uri="{FF2B5EF4-FFF2-40B4-BE49-F238E27FC236}">
                  <a16:creationId xmlns:a16="http://schemas.microsoft.com/office/drawing/2014/main" id="{00000000-0008-0000-0000-000018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114300</xdr:colOff>
          <xdr:row>279</xdr:row>
          <xdr:rowOff>57150</xdr:rowOff>
        </xdr:from>
        <xdr:to>
          <xdr:col>3</xdr:col>
          <xdr:colOff>57150</xdr:colOff>
          <xdr:row>281</xdr:row>
          <xdr:rowOff>152400</xdr:rowOff>
        </xdr:to>
        <xdr:sp macro="" textlink="">
          <xdr:nvSpPr>
            <xdr:cNvPr id="15385" name="Object 25" hidden="1">
              <a:extLst>
                <a:ext uri="{63B3BB69-23CF-44E3-9099-C40C66FF867C}">
                  <a14:compatExt spid="_x0000_s15385"/>
                </a:ext>
                <a:ext uri="{FF2B5EF4-FFF2-40B4-BE49-F238E27FC236}">
                  <a16:creationId xmlns:a16="http://schemas.microsoft.com/office/drawing/2014/main" id="{00000000-0008-0000-0000-000019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219075</xdr:colOff>
          <xdr:row>285</xdr:row>
          <xdr:rowOff>114300</xdr:rowOff>
        </xdr:from>
        <xdr:to>
          <xdr:col>3</xdr:col>
          <xdr:colOff>733425</xdr:colOff>
          <xdr:row>291</xdr:row>
          <xdr:rowOff>85725</xdr:rowOff>
        </xdr:to>
        <xdr:sp macro="" textlink="">
          <xdr:nvSpPr>
            <xdr:cNvPr id="15386" name="Object 26" hidden="1">
              <a:extLst>
                <a:ext uri="{63B3BB69-23CF-44E3-9099-C40C66FF867C}">
                  <a14:compatExt spid="_x0000_s15386"/>
                </a:ext>
                <a:ext uri="{FF2B5EF4-FFF2-40B4-BE49-F238E27FC236}">
                  <a16:creationId xmlns:a16="http://schemas.microsoft.com/office/drawing/2014/main" id="{00000000-0008-0000-0000-00001A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294</xdr:row>
          <xdr:rowOff>0</xdr:rowOff>
        </xdr:from>
        <xdr:to>
          <xdr:col>2</xdr:col>
          <xdr:colOff>762000</xdr:colOff>
          <xdr:row>294</xdr:row>
          <xdr:rowOff>152400</xdr:rowOff>
        </xdr:to>
        <xdr:sp macro="" textlink="">
          <xdr:nvSpPr>
            <xdr:cNvPr id="15387" name="Object 27" hidden="1">
              <a:extLst>
                <a:ext uri="{63B3BB69-23CF-44E3-9099-C40C66FF867C}">
                  <a14:compatExt spid="_x0000_s15387"/>
                </a:ext>
                <a:ext uri="{FF2B5EF4-FFF2-40B4-BE49-F238E27FC236}">
                  <a16:creationId xmlns:a16="http://schemas.microsoft.com/office/drawing/2014/main" id="{00000000-0008-0000-0000-00001B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238125</xdr:colOff>
          <xdr:row>295</xdr:row>
          <xdr:rowOff>180975</xdr:rowOff>
        </xdr:from>
        <xdr:to>
          <xdr:col>3</xdr:col>
          <xdr:colOff>38100</xdr:colOff>
          <xdr:row>296</xdr:row>
          <xdr:rowOff>171450</xdr:rowOff>
        </xdr:to>
        <xdr:sp macro="" textlink="">
          <xdr:nvSpPr>
            <xdr:cNvPr id="15389" name="Object 29" hidden="1">
              <a:extLst>
                <a:ext uri="{63B3BB69-23CF-44E3-9099-C40C66FF867C}">
                  <a14:compatExt spid="_x0000_s15389"/>
                </a:ext>
                <a:ext uri="{FF2B5EF4-FFF2-40B4-BE49-F238E27FC236}">
                  <a16:creationId xmlns:a16="http://schemas.microsoft.com/office/drawing/2014/main" id="{00000000-0008-0000-0000-00001D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9525</xdr:colOff>
          <xdr:row>186</xdr:row>
          <xdr:rowOff>0</xdr:rowOff>
        </xdr:from>
        <xdr:to>
          <xdr:col>3</xdr:col>
          <xdr:colOff>733425</xdr:colOff>
          <xdr:row>188</xdr:row>
          <xdr:rowOff>66675</xdr:rowOff>
        </xdr:to>
        <xdr:sp macro="" textlink="">
          <xdr:nvSpPr>
            <xdr:cNvPr id="15411" name="Object 51" hidden="1">
              <a:extLst>
                <a:ext uri="{63B3BB69-23CF-44E3-9099-C40C66FF867C}">
                  <a14:compatExt spid="_x0000_s15411"/>
                </a:ext>
                <a:ext uri="{FF2B5EF4-FFF2-40B4-BE49-F238E27FC236}">
                  <a16:creationId xmlns:a16="http://schemas.microsoft.com/office/drawing/2014/main" id="{00000000-0008-0000-0000-000033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628650</xdr:colOff>
          <xdr:row>201</xdr:row>
          <xdr:rowOff>114300</xdr:rowOff>
        </xdr:from>
        <xdr:to>
          <xdr:col>4</xdr:col>
          <xdr:colOff>161925</xdr:colOff>
          <xdr:row>203</xdr:row>
          <xdr:rowOff>104775</xdr:rowOff>
        </xdr:to>
        <xdr:sp macro="" textlink="">
          <xdr:nvSpPr>
            <xdr:cNvPr id="15413" name="Object 53" hidden="1">
              <a:extLst>
                <a:ext uri="{63B3BB69-23CF-44E3-9099-C40C66FF867C}">
                  <a14:compatExt spid="_x0000_s15413"/>
                </a:ext>
                <a:ext uri="{FF2B5EF4-FFF2-40B4-BE49-F238E27FC236}">
                  <a16:creationId xmlns:a16="http://schemas.microsoft.com/office/drawing/2014/main" id="{00000000-0008-0000-0000-000035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47625</xdr:colOff>
          <xdr:row>143</xdr:row>
          <xdr:rowOff>66675</xdr:rowOff>
        </xdr:from>
        <xdr:to>
          <xdr:col>3</xdr:col>
          <xdr:colOff>561975</xdr:colOff>
          <xdr:row>145</xdr:row>
          <xdr:rowOff>38100</xdr:rowOff>
        </xdr:to>
        <xdr:sp macro="" textlink="">
          <xdr:nvSpPr>
            <xdr:cNvPr id="15564" name="Object 204" hidden="1">
              <a:extLst>
                <a:ext uri="{63B3BB69-23CF-44E3-9099-C40C66FF867C}">
                  <a14:compatExt spid="_x0000_s15564"/>
                </a:ext>
                <a:ext uri="{FF2B5EF4-FFF2-40B4-BE49-F238E27FC236}">
                  <a16:creationId xmlns:a16="http://schemas.microsoft.com/office/drawing/2014/main" id="{00000000-0008-0000-0000-0000CC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9</xdr:col>
      <xdr:colOff>795087</xdr:colOff>
      <xdr:row>28</xdr:row>
      <xdr:rowOff>174625</xdr:rowOff>
    </xdr:from>
    <xdr:to>
      <xdr:col>15</xdr:col>
      <xdr:colOff>211101</xdr:colOff>
      <xdr:row>48</xdr:row>
      <xdr:rowOff>130249</xdr:rowOff>
    </xdr:to>
    <xdr:pic>
      <xdr:nvPicPr>
        <xdr:cNvPr id="31" name="Imagen 30" descr="seleccionar el coeficiente de rugosidad de Manning en cauces naturales_tabla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7087" y="6334125"/>
          <a:ext cx="4369014" cy="44006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511174</xdr:colOff>
      <xdr:row>28</xdr:row>
      <xdr:rowOff>136525</xdr:rowOff>
    </xdr:from>
    <xdr:to>
      <xdr:col>20</xdr:col>
      <xdr:colOff>454025</xdr:colOff>
      <xdr:row>58</xdr:row>
      <xdr:rowOff>4551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73503F0-D403-4C1D-B0DD-279DB3394D1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9"/>
        <a:srcRect l="36966" t="18663" r="35712" b="9017"/>
        <a:stretch/>
      </xdr:blipFill>
      <xdr:spPr>
        <a:xfrm>
          <a:off x="12576174" y="6296025"/>
          <a:ext cx="4070351" cy="6526908"/>
        </a:xfrm>
        <a:prstGeom prst="rect">
          <a:avLst/>
        </a:prstGeom>
      </xdr:spPr>
    </xdr:pic>
    <xdr:clientData/>
  </xdr:twoCellAnchor>
  <xdr:twoCellAnchor>
    <xdr:from>
      <xdr:col>2</xdr:col>
      <xdr:colOff>114300</xdr:colOff>
      <xdr:row>335</xdr:row>
      <xdr:rowOff>67863</xdr:rowOff>
    </xdr:from>
    <xdr:to>
      <xdr:col>10</xdr:col>
      <xdr:colOff>76200</xdr:colOff>
      <xdr:row>344</xdr:row>
      <xdr:rowOff>114300</xdr:rowOff>
    </xdr:to>
    <xdr:sp macro="" textlink="">
      <xdr:nvSpPr>
        <xdr:cNvPr id="34" name="Forma libre 33"/>
        <xdr:cNvSpPr/>
      </xdr:nvSpPr>
      <xdr:spPr bwMode="auto">
        <a:xfrm>
          <a:off x="952500" y="934638"/>
          <a:ext cx="6667500" cy="1503762"/>
        </a:xfrm>
        <a:custGeom>
          <a:avLst/>
          <a:gdLst>
            <a:gd name="connsiteX0" fmla="*/ 0 w 6591300"/>
            <a:gd name="connsiteY0" fmla="*/ 1751412 h 1751412"/>
            <a:gd name="connsiteX1" fmla="*/ 790575 w 6591300"/>
            <a:gd name="connsiteY1" fmla="*/ 103587 h 1751412"/>
            <a:gd name="connsiteX2" fmla="*/ 1924050 w 6591300"/>
            <a:gd name="connsiteY2" fmla="*/ 275037 h 1751412"/>
            <a:gd name="connsiteX3" fmla="*/ 2476500 w 6591300"/>
            <a:gd name="connsiteY3" fmla="*/ 1122762 h 1751412"/>
            <a:gd name="connsiteX4" fmla="*/ 4010025 w 6591300"/>
            <a:gd name="connsiteY4" fmla="*/ 1656162 h 1751412"/>
            <a:gd name="connsiteX5" fmla="*/ 5753100 w 6591300"/>
            <a:gd name="connsiteY5" fmla="*/ 1332312 h 1751412"/>
            <a:gd name="connsiteX6" fmla="*/ 6153150 w 6591300"/>
            <a:gd name="connsiteY6" fmla="*/ 1141812 h 1751412"/>
            <a:gd name="connsiteX7" fmla="*/ 6286500 w 6591300"/>
            <a:gd name="connsiteY7" fmla="*/ 1084662 h 1751412"/>
            <a:gd name="connsiteX8" fmla="*/ 6591300 w 6591300"/>
            <a:gd name="connsiteY8" fmla="*/ 1056087 h 175141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</a:cxnLst>
          <a:rect l="l" t="t" r="r" b="b"/>
          <a:pathLst>
            <a:path w="6591300" h="1751412">
              <a:moveTo>
                <a:pt x="0" y="1751412"/>
              </a:moveTo>
              <a:cubicBezTo>
                <a:pt x="234950" y="1050530"/>
                <a:pt x="469900" y="349649"/>
                <a:pt x="790575" y="103587"/>
              </a:cubicBezTo>
              <a:cubicBezTo>
                <a:pt x="1111250" y="-142475"/>
                <a:pt x="1643063" y="105175"/>
                <a:pt x="1924050" y="275037"/>
              </a:cubicBezTo>
              <a:cubicBezTo>
                <a:pt x="2205037" y="444899"/>
                <a:pt x="2128838" y="892575"/>
                <a:pt x="2476500" y="1122762"/>
              </a:cubicBezTo>
              <a:cubicBezTo>
                <a:pt x="2824162" y="1352949"/>
                <a:pt x="3463925" y="1621237"/>
                <a:pt x="4010025" y="1656162"/>
              </a:cubicBezTo>
              <a:cubicBezTo>
                <a:pt x="4556125" y="1691087"/>
                <a:pt x="5395913" y="1418037"/>
                <a:pt x="5753100" y="1332312"/>
              </a:cubicBezTo>
              <a:cubicBezTo>
                <a:pt x="6110288" y="1246587"/>
                <a:pt x="6064250" y="1183087"/>
                <a:pt x="6153150" y="1141812"/>
              </a:cubicBezTo>
              <a:cubicBezTo>
                <a:pt x="6242050" y="1100537"/>
                <a:pt x="6213475" y="1098949"/>
                <a:pt x="6286500" y="1084662"/>
              </a:cubicBezTo>
              <a:cubicBezTo>
                <a:pt x="6359525" y="1070375"/>
                <a:pt x="6516688" y="1019575"/>
                <a:pt x="6591300" y="1056087"/>
              </a:cubicBezTo>
            </a:path>
          </a:pathLst>
        </a:custGeom>
        <a:noFill/>
        <a:ln w="38100" cap="flat" cmpd="sng" algn="ctr">
          <a:solidFill>
            <a:srgbClr val="00206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s-PE" sz="1100"/>
        </a:p>
      </xdr:txBody>
    </xdr:sp>
    <xdr:clientData/>
  </xdr:twoCellAnchor>
  <xdr:twoCellAnchor>
    <xdr:from>
      <xdr:col>10</xdr:col>
      <xdr:colOff>9525</xdr:colOff>
      <xdr:row>333</xdr:row>
      <xdr:rowOff>9525</xdr:rowOff>
    </xdr:from>
    <xdr:to>
      <xdr:col>11</xdr:col>
      <xdr:colOff>0</xdr:colOff>
      <xdr:row>343</xdr:row>
      <xdr:rowOff>0</xdr:rowOff>
    </xdr:to>
    <xdr:sp macro="" textlink="">
      <xdr:nvSpPr>
        <xdr:cNvPr id="35" name="Rectángulo 34"/>
        <xdr:cNvSpPr/>
      </xdr:nvSpPr>
      <xdr:spPr bwMode="auto">
        <a:xfrm flipV="1">
          <a:off x="7553325" y="542925"/>
          <a:ext cx="828675" cy="1619250"/>
        </a:xfrm>
        <a:prstGeom prst="rect">
          <a:avLst/>
        </a:prstGeom>
        <a:noFill/>
        <a:ln w="28575" cap="flat" cmpd="sng" algn="ctr">
          <a:solidFill>
            <a:schemeClr val="bg1">
              <a:lumMod val="50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s-PE" sz="1100" b="1">
            <a:solidFill>
              <a:srgbClr val="002060"/>
            </a:solidFill>
          </a:endParaRPr>
        </a:p>
      </xdr:txBody>
    </xdr:sp>
    <xdr:clientData/>
  </xdr:twoCellAnchor>
  <xdr:twoCellAnchor>
    <xdr:from>
      <xdr:col>10</xdr:col>
      <xdr:colOff>85725</xdr:colOff>
      <xdr:row>333</xdr:row>
      <xdr:rowOff>9525</xdr:rowOff>
    </xdr:from>
    <xdr:to>
      <xdr:col>10</xdr:col>
      <xdr:colOff>85726</xdr:colOff>
      <xdr:row>342</xdr:row>
      <xdr:rowOff>133350</xdr:rowOff>
    </xdr:to>
    <xdr:cxnSp macro="">
      <xdr:nvCxnSpPr>
        <xdr:cNvPr id="36" name="Conector recto 35"/>
        <xdr:cNvCxnSpPr/>
      </xdr:nvCxnSpPr>
      <xdr:spPr bwMode="auto">
        <a:xfrm flipH="1">
          <a:off x="7629525" y="542925"/>
          <a:ext cx="1" cy="1590675"/>
        </a:xfrm>
        <a:prstGeom prst="line">
          <a:avLst/>
        </a:prstGeom>
        <a:solidFill>
          <a:srgbClr val="FFFFFF"/>
        </a:solidFill>
        <a:ln w="19050" cap="flat" cmpd="sng" algn="ctr">
          <a:solidFill>
            <a:schemeClr val="bg1">
              <a:lumMod val="50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10</xdr:col>
      <xdr:colOff>771525</xdr:colOff>
      <xdr:row>333</xdr:row>
      <xdr:rowOff>9525</xdr:rowOff>
    </xdr:from>
    <xdr:to>
      <xdr:col>10</xdr:col>
      <xdr:colOff>771526</xdr:colOff>
      <xdr:row>342</xdr:row>
      <xdr:rowOff>133350</xdr:rowOff>
    </xdr:to>
    <xdr:cxnSp macro="">
      <xdr:nvCxnSpPr>
        <xdr:cNvPr id="37" name="Conector recto 36"/>
        <xdr:cNvCxnSpPr/>
      </xdr:nvCxnSpPr>
      <xdr:spPr bwMode="auto">
        <a:xfrm flipH="1">
          <a:off x="8315325" y="542925"/>
          <a:ext cx="1" cy="1590675"/>
        </a:xfrm>
        <a:prstGeom prst="line">
          <a:avLst/>
        </a:prstGeom>
        <a:solidFill>
          <a:srgbClr val="FFFFFF"/>
        </a:solidFill>
        <a:ln w="19050" cap="flat" cmpd="sng" algn="ctr">
          <a:solidFill>
            <a:schemeClr val="bg1">
              <a:lumMod val="50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10</xdr:col>
      <xdr:colOff>85727</xdr:colOff>
      <xdr:row>342</xdr:row>
      <xdr:rowOff>114300</xdr:rowOff>
    </xdr:from>
    <xdr:to>
      <xdr:col>10</xdr:col>
      <xdr:colOff>771525</xdr:colOff>
      <xdr:row>342</xdr:row>
      <xdr:rowOff>123825</xdr:rowOff>
    </xdr:to>
    <xdr:cxnSp macro="">
      <xdr:nvCxnSpPr>
        <xdr:cNvPr id="38" name="Conector recto 37"/>
        <xdr:cNvCxnSpPr/>
      </xdr:nvCxnSpPr>
      <xdr:spPr bwMode="auto">
        <a:xfrm>
          <a:off x="7629527" y="2114550"/>
          <a:ext cx="685798" cy="9525"/>
        </a:xfrm>
        <a:prstGeom prst="line">
          <a:avLst/>
        </a:prstGeom>
        <a:solidFill>
          <a:srgbClr val="FFFFFF"/>
        </a:solidFill>
        <a:ln w="19050" cap="flat" cmpd="sng" algn="ctr">
          <a:solidFill>
            <a:schemeClr val="bg1">
              <a:lumMod val="50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10</xdr:col>
      <xdr:colOff>47625</xdr:colOff>
      <xdr:row>337</xdr:row>
      <xdr:rowOff>9525</xdr:rowOff>
    </xdr:from>
    <xdr:to>
      <xdr:col>10</xdr:col>
      <xdr:colOff>47626</xdr:colOff>
      <xdr:row>340</xdr:row>
      <xdr:rowOff>133350</xdr:rowOff>
    </xdr:to>
    <xdr:cxnSp macro="">
      <xdr:nvCxnSpPr>
        <xdr:cNvPr id="39" name="Conector recto 38"/>
        <xdr:cNvCxnSpPr/>
      </xdr:nvCxnSpPr>
      <xdr:spPr bwMode="auto">
        <a:xfrm>
          <a:off x="7591425" y="1200150"/>
          <a:ext cx="1" cy="609600"/>
        </a:xfrm>
        <a:prstGeom prst="line">
          <a:avLst/>
        </a:prstGeom>
        <a:solidFill>
          <a:srgbClr val="FFFFFF"/>
        </a:solidFill>
        <a:ln w="571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10</xdr:col>
      <xdr:colOff>9525</xdr:colOff>
      <xdr:row>333</xdr:row>
      <xdr:rowOff>9525</xdr:rowOff>
    </xdr:from>
    <xdr:to>
      <xdr:col>11</xdr:col>
      <xdr:colOff>0</xdr:colOff>
      <xdr:row>343</xdr:row>
      <xdr:rowOff>0</xdr:rowOff>
    </xdr:to>
    <xdr:sp macro="" textlink="">
      <xdr:nvSpPr>
        <xdr:cNvPr id="40" name="Rectángulo 39"/>
        <xdr:cNvSpPr/>
      </xdr:nvSpPr>
      <xdr:spPr bwMode="auto">
        <a:xfrm flipV="1">
          <a:off x="7553325" y="542925"/>
          <a:ext cx="828675" cy="1619250"/>
        </a:xfrm>
        <a:prstGeom prst="rect">
          <a:avLst/>
        </a:prstGeom>
        <a:noFill/>
        <a:ln w="28575" cap="flat" cmpd="sng" algn="ctr">
          <a:solidFill>
            <a:schemeClr val="bg2">
              <a:lumMod val="10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s-PE" sz="1100"/>
        </a:p>
      </xdr:txBody>
    </xdr:sp>
    <xdr:clientData/>
  </xdr:twoCellAnchor>
  <xdr:twoCellAnchor>
    <xdr:from>
      <xdr:col>10</xdr:col>
      <xdr:colOff>85725</xdr:colOff>
      <xdr:row>333</xdr:row>
      <xdr:rowOff>9525</xdr:rowOff>
    </xdr:from>
    <xdr:to>
      <xdr:col>10</xdr:col>
      <xdr:colOff>85726</xdr:colOff>
      <xdr:row>342</xdr:row>
      <xdr:rowOff>133350</xdr:rowOff>
    </xdr:to>
    <xdr:cxnSp macro="">
      <xdr:nvCxnSpPr>
        <xdr:cNvPr id="41" name="Conector recto 40"/>
        <xdr:cNvCxnSpPr/>
      </xdr:nvCxnSpPr>
      <xdr:spPr bwMode="auto">
        <a:xfrm flipH="1">
          <a:off x="7629525" y="542925"/>
          <a:ext cx="1" cy="1590675"/>
        </a:xfrm>
        <a:prstGeom prst="line">
          <a:avLst/>
        </a:prstGeom>
        <a:solidFill>
          <a:srgbClr val="FFFFFF"/>
        </a:solidFill>
        <a:ln w="19050" cap="flat" cmpd="sng" algn="ctr">
          <a:solidFill>
            <a:schemeClr val="bg2">
              <a:lumMod val="10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10</xdr:col>
      <xdr:colOff>771525</xdr:colOff>
      <xdr:row>333</xdr:row>
      <xdr:rowOff>9525</xdr:rowOff>
    </xdr:from>
    <xdr:to>
      <xdr:col>10</xdr:col>
      <xdr:colOff>771526</xdr:colOff>
      <xdr:row>342</xdr:row>
      <xdr:rowOff>133350</xdr:rowOff>
    </xdr:to>
    <xdr:cxnSp macro="">
      <xdr:nvCxnSpPr>
        <xdr:cNvPr id="42" name="Conector recto 41"/>
        <xdr:cNvCxnSpPr/>
      </xdr:nvCxnSpPr>
      <xdr:spPr bwMode="auto">
        <a:xfrm flipH="1">
          <a:off x="8315325" y="542925"/>
          <a:ext cx="1" cy="1590675"/>
        </a:xfrm>
        <a:prstGeom prst="line">
          <a:avLst/>
        </a:prstGeom>
        <a:solidFill>
          <a:srgbClr val="FFFFFF"/>
        </a:solidFill>
        <a:ln w="19050" cap="flat" cmpd="sng" algn="ctr">
          <a:solidFill>
            <a:schemeClr val="bg2">
              <a:lumMod val="10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10</xdr:col>
      <xdr:colOff>95250</xdr:colOff>
      <xdr:row>342</xdr:row>
      <xdr:rowOff>123825</xdr:rowOff>
    </xdr:from>
    <xdr:to>
      <xdr:col>10</xdr:col>
      <xdr:colOff>771525</xdr:colOff>
      <xdr:row>342</xdr:row>
      <xdr:rowOff>123825</xdr:rowOff>
    </xdr:to>
    <xdr:cxnSp macro="">
      <xdr:nvCxnSpPr>
        <xdr:cNvPr id="43" name="Conector recto 42"/>
        <xdr:cNvCxnSpPr/>
      </xdr:nvCxnSpPr>
      <xdr:spPr bwMode="auto">
        <a:xfrm>
          <a:off x="7639050" y="2124075"/>
          <a:ext cx="676275" cy="0"/>
        </a:xfrm>
        <a:prstGeom prst="line">
          <a:avLst/>
        </a:prstGeom>
        <a:solidFill>
          <a:srgbClr val="FFFFFF"/>
        </a:solidFill>
        <a:ln w="19050" cap="flat" cmpd="sng" algn="ctr">
          <a:solidFill>
            <a:schemeClr val="bg2">
              <a:lumMod val="10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10</xdr:col>
      <xdr:colOff>47625</xdr:colOff>
      <xdr:row>337</xdr:row>
      <xdr:rowOff>9525</xdr:rowOff>
    </xdr:from>
    <xdr:to>
      <xdr:col>10</xdr:col>
      <xdr:colOff>47626</xdr:colOff>
      <xdr:row>340</xdr:row>
      <xdr:rowOff>133350</xdr:rowOff>
    </xdr:to>
    <xdr:cxnSp macro="">
      <xdr:nvCxnSpPr>
        <xdr:cNvPr id="44" name="Conector recto 43"/>
        <xdr:cNvCxnSpPr/>
      </xdr:nvCxnSpPr>
      <xdr:spPr bwMode="auto">
        <a:xfrm>
          <a:off x="7591425" y="1200150"/>
          <a:ext cx="1" cy="609600"/>
        </a:xfrm>
        <a:prstGeom prst="line">
          <a:avLst/>
        </a:prstGeom>
        <a:solidFill>
          <a:srgbClr val="FFFFFF"/>
        </a:solidFill>
        <a:ln w="571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11</xdr:col>
      <xdr:colOff>0</xdr:colOff>
      <xdr:row>338</xdr:row>
      <xdr:rowOff>0</xdr:rowOff>
    </xdr:from>
    <xdr:to>
      <xdr:col>11</xdr:col>
      <xdr:colOff>828675</xdr:colOff>
      <xdr:row>343</xdr:row>
      <xdr:rowOff>0</xdr:rowOff>
    </xdr:to>
    <xdr:sp macro="" textlink="">
      <xdr:nvSpPr>
        <xdr:cNvPr id="45" name="Rectángulo 44"/>
        <xdr:cNvSpPr/>
      </xdr:nvSpPr>
      <xdr:spPr bwMode="auto">
        <a:xfrm flipV="1">
          <a:off x="8382000" y="1352550"/>
          <a:ext cx="828675" cy="809625"/>
        </a:xfrm>
        <a:prstGeom prst="rect">
          <a:avLst/>
        </a:prstGeom>
        <a:noFill/>
        <a:ln w="28575" cap="flat" cmpd="sng" algn="ctr">
          <a:solidFill>
            <a:schemeClr val="bg2">
              <a:lumMod val="10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s-PE" sz="1100"/>
        </a:p>
      </xdr:txBody>
    </xdr:sp>
    <xdr:clientData/>
  </xdr:twoCellAnchor>
  <xdr:twoCellAnchor>
    <xdr:from>
      <xdr:col>10</xdr:col>
      <xdr:colOff>600077</xdr:colOff>
      <xdr:row>340</xdr:row>
      <xdr:rowOff>19050</xdr:rowOff>
    </xdr:from>
    <xdr:to>
      <xdr:col>12</xdr:col>
      <xdr:colOff>180975</xdr:colOff>
      <xdr:row>340</xdr:row>
      <xdr:rowOff>104775</xdr:rowOff>
    </xdr:to>
    <xdr:cxnSp macro="">
      <xdr:nvCxnSpPr>
        <xdr:cNvPr id="46" name="Conector recto 45"/>
        <xdr:cNvCxnSpPr/>
      </xdr:nvCxnSpPr>
      <xdr:spPr bwMode="auto">
        <a:xfrm>
          <a:off x="8143877" y="1695450"/>
          <a:ext cx="1257298" cy="85725"/>
        </a:xfrm>
        <a:prstGeom prst="line">
          <a:avLst/>
        </a:prstGeom>
        <a:solidFill>
          <a:srgbClr val="FFFFFF"/>
        </a:solidFill>
        <a:ln w="38100" cap="flat" cmpd="sng" algn="ctr">
          <a:solidFill>
            <a:schemeClr val="bg2">
              <a:lumMod val="50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11</xdr:col>
      <xdr:colOff>771525</xdr:colOff>
      <xdr:row>338</xdr:row>
      <xdr:rowOff>85725</xdr:rowOff>
    </xdr:from>
    <xdr:to>
      <xdr:col>11</xdr:col>
      <xdr:colOff>771526</xdr:colOff>
      <xdr:row>342</xdr:row>
      <xdr:rowOff>142875</xdr:rowOff>
    </xdr:to>
    <xdr:cxnSp macro="">
      <xdr:nvCxnSpPr>
        <xdr:cNvPr id="47" name="Conector recto 46"/>
        <xdr:cNvCxnSpPr/>
      </xdr:nvCxnSpPr>
      <xdr:spPr bwMode="auto">
        <a:xfrm>
          <a:off x="9153525" y="1438275"/>
          <a:ext cx="1" cy="704850"/>
        </a:xfrm>
        <a:prstGeom prst="line">
          <a:avLst/>
        </a:prstGeom>
        <a:solidFill>
          <a:srgbClr val="FFFFFF"/>
        </a:solidFill>
        <a:ln w="19050" cap="flat" cmpd="sng" algn="ctr">
          <a:solidFill>
            <a:schemeClr val="bg2">
              <a:lumMod val="10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11</xdr:col>
      <xdr:colOff>9525</xdr:colOff>
      <xdr:row>342</xdr:row>
      <xdr:rowOff>133350</xdr:rowOff>
    </xdr:from>
    <xdr:to>
      <xdr:col>11</xdr:col>
      <xdr:colOff>762000</xdr:colOff>
      <xdr:row>342</xdr:row>
      <xdr:rowOff>133350</xdr:rowOff>
    </xdr:to>
    <xdr:cxnSp macro="">
      <xdr:nvCxnSpPr>
        <xdr:cNvPr id="48" name="Conector recto 47"/>
        <xdr:cNvCxnSpPr/>
      </xdr:nvCxnSpPr>
      <xdr:spPr bwMode="auto">
        <a:xfrm>
          <a:off x="8391525" y="2133600"/>
          <a:ext cx="752475" cy="0"/>
        </a:xfrm>
        <a:prstGeom prst="line">
          <a:avLst/>
        </a:prstGeom>
        <a:solidFill>
          <a:srgbClr val="FFFFFF"/>
        </a:solidFill>
        <a:ln w="19050" cap="flat" cmpd="sng" algn="ctr">
          <a:solidFill>
            <a:schemeClr val="bg2">
              <a:lumMod val="10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11</xdr:col>
      <xdr:colOff>19050</xdr:colOff>
      <xdr:row>338</xdr:row>
      <xdr:rowOff>95250</xdr:rowOff>
    </xdr:from>
    <xdr:to>
      <xdr:col>11</xdr:col>
      <xdr:colOff>771525</xdr:colOff>
      <xdr:row>338</xdr:row>
      <xdr:rowOff>95250</xdr:rowOff>
    </xdr:to>
    <xdr:cxnSp macro="">
      <xdr:nvCxnSpPr>
        <xdr:cNvPr id="49" name="Conector recto 48"/>
        <xdr:cNvCxnSpPr/>
      </xdr:nvCxnSpPr>
      <xdr:spPr bwMode="auto">
        <a:xfrm>
          <a:off x="8401050" y="1447800"/>
          <a:ext cx="752475" cy="0"/>
        </a:xfrm>
        <a:prstGeom prst="line">
          <a:avLst/>
        </a:prstGeom>
        <a:solidFill>
          <a:srgbClr val="FFFFFF"/>
        </a:solidFill>
        <a:ln w="19050" cap="flat" cmpd="sng" algn="ctr">
          <a:solidFill>
            <a:schemeClr val="bg2">
              <a:lumMod val="10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10</xdr:col>
      <xdr:colOff>600076</xdr:colOff>
      <xdr:row>340</xdr:row>
      <xdr:rowOff>9525</xdr:rowOff>
    </xdr:from>
    <xdr:to>
      <xdr:col>10</xdr:col>
      <xdr:colOff>609600</xdr:colOff>
      <xdr:row>342</xdr:row>
      <xdr:rowOff>133350</xdr:rowOff>
    </xdr:to>
    <xdr:cxnSp macro="">
      <xdr:nvCxnSpPr>
        <xdr:cNvPr id="50" name="Conector recto 49"/>
        <xdr:cNvCxnSpPr/>
      </xdr:nvCxnSpPr>
      <xdr:spPr bwMode="auto">
        <a:xfrm flipH="1">
          <a:off x="8143876" y="1685925"/>
          <a:ext cx="9524" cy="447675"/>
        </a:xfrm>
        <a:prstGeom prst="line">
          <a:avLst/>
        </a:prstGeom>
        <a:solidFill>
          <a:srgbClr val="FFFFFF"/>
        </a:solidFill>
        <a:ln w="28575" cap="flat" cmpd="sng" algn="ctr">
          <a:solidFill>
            <a:schemeClr val="bg2">
              <a:lumMod val="50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11</xdr:col>
      <xdr:colOff>9525</xdr:colOff>
      <xdr:row>331</xdr:row>
      <xdr:rowOff>66675</xdr:rowOff>
    </xdr:from>
    <xdr:to>
      <xdr:col>13</xdr:col>
      <xdr:colOff>723900</xdr:colOff>
      <xdr:row>338</xdr:row>
      <xdr:rowOff>0</xdr:rowOff>
    </xdr:to>
    <xdr:sp macro="" textlink="">
      <xdr:nvSpPr>
        <xdr:cNvPr id="51" name="Forma libre 50"/>
        <xdr:cNvSpPr/>
      </xdr:nvSpPr>
      <xdr:spPr bwMode="auto">
        <a:xfrm>
          <a:off x="8391525" y="228600"/>
          <a:ext cx="2390775" cy="1123950"/>
        </a:xfrm>
        <a:custGeom>
          <a:avLst/>
          <a:gdLst>
            <a:gd name="connsiteX0" fmla="*/ 0 w 2152650"/>
            <a:gd name="connsiteY0" fmla="*/ 1304925 h 1304925"/>
            <a:gd name="connsiteX1" fmla="*/ 762000 w 2152650"/>
            <a:gd name="connsiteY1" fmla="*/ 1238250 h 1304925"/>
            <a:gd name="connsiteX2" fmla="*/ 1352550 w 2152650"/>
            <a:gd name="connsiteY2" fmla="*/ 962025 h 1304925"/>
            <a:gd name="connsiteX3" fmla="*/ 2152650 w 2152650"/>
            <a:gd name="connsiteY3" fmla="*/ 0 h 130492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2152650" h="1304925">
              <a:moveTo>
                <a:pt x="0" y="1304925"/>
              </a:moveTo>
              <a:cubicBezTo>
                <a:pt x="268287" y="1300162"/>
                <a:pt x="536575" y="1295400"/>
                <a:pt x="762000" y="1238250"/>
              </a:cubicBezTo>
              <a:cubicBezTo>
                <a:pt x="987425" y="1181100"/>
                <a:pt x="1120775" y="1168400"/>
                <a:pt x="1352550" y="962025"/>
              </a:cubicBezTo>
              <a:cubicBezTo>
                <a:pt x="1584325" y="755650"/>
                <a:pt x="2019300" y="146050"/>
                <a:pt x="2152650" y="0"/>
              </a:cubicBezTo>
            </a:path>
          </a:pathLst>
        </a:custGeom>
        <a:noFill/>
        <a:ln w="38100" cap="flat" cmpd="sng" algn="ctr">
          <a:solidFill>
            <a:srgbClr val="00206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s-PE" sz="1100"/>
        </a:p>
      </xdr:txBody>
    </xdr:sp>
    <xdr:clientData/>
  </xdr:twoCellAnchor>
  <xdr:twoCellAnchor>
    <xdr:from>
      <xdr:col>3</xdr:col>
      <xdr:colOff>352425</xdr:colOff>
      <xdr:row>344</xdr:row>
      <xdr:rowOff>0</xdr:rowOff>
    </xdr:from>
    <xdr:to>
      <xdr:col>13</xdr:col>
      <xdr:colOff>676275</xdr:colOff>
      <xdr:row>344</xdr:row>
      <xdr:rowOff>0</xdr:rowOff>
    </xdr:to>
    <xdr:cxnSp macro="">
      <xdr:nvCxnSpPr>
        <xdr:cNvPr id="52" name="Conector recto 51"/>
        <xdr:cNvCxnSpPr/>
      </xdr:nvCxnSpPr>
      <xdr:spPr bwMode="auto">
        <a:xfrm>
          <a:off x="2028825" y="2324100"/>
          <a:ext cx="8705850" cy="0"/>
        </a:xfrm>
        <a:prstGeom prst="line">
          <a:avLst/>
        </a:prstGeom>
        <a:solidFill>
          <a:srgbClr val="FFFFFF"/>
        </a:solidFill>
        <a:ln w="19050" cap="flat" cmpd="sng" algn="ctr">
          <a:solidFill>
            <a:schemeClr val="tx1">
              <a:lumMod val="85000"/>
              <a:lumOff val="15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3</xdr:col>
      <xdr:colOff>647700</xdr:colOff>
      <xdr:row>335</xdr:row>
      <xdr:rowOff>85725</xdr:rowOff>
    </xdr:from>
    <xdr:to>
      <xdr:col>10</xdr:col>
      <xdr:colOff>19050</xdr:colOff>
      <xdr:row>335</xdr:row>
      <xdr:rowOff>95250</xdr:rowOff>
    </xdr:to>
    <xdr:cxnSp macro="">
      <xdr:nvCxnSpPr>
        <xdr:cNvPr id="53" name="Conector recto 52"/>
        <xdr:cNvCxnSpPr/>
      </xdr:nvCxnSpPr>
      <xdr:spPr bwMode="auto">
        <a:xfrm>
          <a:off x="2324100" y="952500"/>
          <a:ext cx="5238750" cy="9525"/>
        </a:xfrm>
        <a:prstGeom prst="line">
          <a:avLst/>
        </a:prstGeom>
        <a:solidFill>
          <a:srgbClr val="FFFFFF"/>
        </a:solidFill>
        <a:ln w="19050" cap="flat" cmpd="sng" algn="ctr">
          <a:solidFill>
            <a:schemeClr val="tx2">
              <a:lumMod val="60000"/>
              <a:lumOff val="40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4</xdr:col>
      <xdr:colOff>647700</xdr:colOff>
      <xdr:row>339</xdr:row>
      <xdr:rowOff>0</xdr:rowOff>
    </xdr:from>
    <xdr:to>
      <xdr:col>10</xdr:col>
      <xdr:colOff>0</xdr:colOff>
      <xdr:row>339</xdr:row>
      <xdr:rowOff>9525</xdr:rowOff>
    </xdr:to>
    <xdr:cxnSp macro="">
      <xdr:nvCxnSpPr>
        <xdr:cNvPr id="54" name="Conector recto 53"/>
        <xdr:cNvCxnSpPr/>
      </xdr:nvCxnSpPr>
      <xdr:spPr bwMode="auto">
        <a:xfrm>
          <a:off x="3162300" y="1514475"/>
          <a:ext cx="4381500" cy="9525"/>
        </a:xfrm>
        <a:prstGeom prst="line">
          <a:avLst/>
        </a:prstGeom>
        <a:solidFill>
          <a:srgbClr val="FFFFFF"/>
        </a:solidFill>
        <a:ln w="19050" cap="flat" cmpd="sng" algn="ctr">
          <a:solidFill>
            <a:schemeClr val="tx2">
              <a:lumMod val="60000"/>
              <a:lumOff val="40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7</xdr:col>
      <xdr:colOff>219075</xdr:colOff>
      <xdr:row>339</xdr:row>
      <xdr:rowOff>0</xdr:rowOff>
    </xdr:from>
    <xdr:to>
      <xdr:col>7</xdr:col>
      <xdr:colOff>228600</xdr:colOff>
      <xdr:row>341</xdr:row>
      <xdr:rowOff>0</xdr:rowOff>
    </xdr:to>
    <xdr:cxnSp macro="">
      <xdr:nvCxnSpPr>
        <xdr:cNvPr id="55" name="Conector recto de flecha 54"/>
        <xdr:cNvCxnSpPr/>
      </xdr:nvCxnSpPr>
      <xdr:spPr bwMode="auto">
        <a:xfrm flipH="1" flipV="1">
          <a:off x="5248275" y="1514475"/>
          <a:ext cx="9525" cy="323850"/>
        </a:xfrm>
        <a:prstGeom prst="straightConnector1">
          <a:avLst/>
        </a:prstGeom>
        <a:solidFill>
          <a:srgbClr val="FFFFFF"/>
        </a:solidFill>
        <a:ln w="19050" cap="flat" cmpd="sng" algn="ctr">
          <a:solidFill>
            <a:srgbClr val="FF0000"/>
          </a:solidFill>
          <a:prstDash val="solid"/>
          <a:round/>
          <a:headEnd type="none" w="med" len="med"/>
          <a:tailEnd type="triangle"/>
        </a:ln>
        <a:effectLst/>
      </xdr:spPr>
    </xdr:cxnSp>
    <xdr:clientData/>
  </xdr:twoCellAnchor>
  <xdr:twoCellAnchor>
    <xdr:from>
      <xdr:col>7</xdr:col>
      <xdr:colOff>228600</xdr:colOff>
      <xdr:row>342</xdr:row>
      <xdr:rowOff>9526</xdr:rowOff>
    </xdr:from>
    <xdr:to>
      <xdr:col>7</xdr:col>
      <xdr:colOff>228602</xdr:colOff>
      <xdr:row>344</xdr:row>
      <xdr:rowOff>19050</xdr:rowOff>
    </xdr:to>
    <xdr:cxnSp macro="">
      <xdr:nvCxnSpPr>
        <xdr:cNvPr id="56" name="Conector recto de flecha 55"/>
        <xdr:cNvCxnSpPr/>
      </xdr:nvCxnSpPr>
      <xdr:spPr bwMode="auto">
        <a:xfrm flipH="1">
          <a:off x="5257800" y="2009776"/>
          <a:ext cx="2" cy="333374"/>
        </a:xfrm>
        <a:prstGeom prst="straightConnector1">
          <a:avLst/>
        </a:prstGeom>
        <a:solidFill>
          <a:srgbClr val="FFFFFF"/>
        </a:solidFill>
        <a:ln w="19050" cap="flat" cmpd="sng" algn="ctr">
          <a:solidFill>
            <a:srgbClr val="FF0000"/>
          </a:solidFill>
          <a:prstDash val="solid"/>
          <a:round/>
          <a:headEnd type="none" w="med" len="med"/>
          <a:tailEnd type="triangle"/>
        </a:ln>
        <a:effectLst/>
      </xdr:spPr>
    </xdr:cxnSp>
    <xdr:clientData/>
  </xdr:twoCellAnchor>
  <xdr:twoCellAnchor>
    <xdr:from>
      <xdr:col>3</xdr:col>
      <xdr:colOff>390525</xdr:colOff>
      <xdr:row>335</xdr:row>
      <xdr:rowOff>66675</xdr:rowOff>
    </xdr:from>
    <xdr:to>
      <xdr:col>3</xdr:col>
      <xdr:colOff>400051</xdr:colOff>
      <xdr:row>338</xdr:row>
      <xdr:rowOff>171451</xdr:rowOff>
    </xdr:to>
    <xdr:cxnSp macro="">
      <xdr:nvCxnSpPr>
        <xdr:cNvPr id="57" name="Conector recto de flecha 56"/>
        <xdr:cNvCxnSpPr/>
      </xdr:nvCxnSpPr>
      <xdr:spPr bwMode="auto">
        <a:xfrm flipH="1" flipV="1">
          <a:off x="2066925" y="933450"/>
          <a:ext cx="9526" cy="581026"/>
        </a:xfrm>
        <a:prstGeom prst="straightConnector1">
          <a:avLst/>
        </a:prstGeom>
        <a:solidFill>
          <a:srgbClr val="FFFFFF"/>
        </a:solidFill>
        <a:ln w="19050" cap="flat" cmpd="sng" algn="ctr">
          <a:solidFill>
            <a:srgbClr val="FF0000"/>
          </a:solidFill>
          <a:prstDash val="solid"/>
          <a:round/>
          <a:headEnd type="none" w="med" len="med"/>
          <a:tailEnd type="triangle"/>
        </a:ln>
        <a:effectLst/>
      </xdr:spPr>
    </xdr:cxnSp>
    <xdr:clientData/>
  </xdr:twoCellAnchor>
  <xdr:twoCellAnchor>
    <xdr:from>
      <xdr:col>3</xdr:col>
      <xdr:colOff>400052</xdr:colOff>
      <xdr:row>339</xdr:row>
      <xdr:rowOff>180976</xdr:rowOff>
    </xdr:from>
    <xdr:to>
      <xdr:col>3</xdr:col>
      <xdr:colOff>409575</xdr:colOff>
      <xdr:row>344</xdr:row>
      <xdr:rowOff>0</xdr:rowOff>
    </xdr:to>
    <xdr:cxnSp macro="">
      <xdr:nvCxnSpPr>
        <xdr:cNvPr id="58" name="Conector recto de flecha 57"/>
        <xdr:cNvCxnSpPr/>
      </xdr:nvCxnSpPr>
      <xdr:spPr bwMode="auto">
        <a:xfrm>
          <a:off x="2076452" y="1676401"/>
          <a:ext cx="9523" cy="647699"/>
        </a:xfrm>
        <a:prstGeom prst="straightConnector1">
          <a:avLst/>
        </a:prstGeom>
        <a:solidFill>
          <a:srgbClr val="FFFFFF"/>
        </a:solidFill>
        <a:ln w="19050" cap="flat" cmpd="sng" algn="ctr">
          <a:solidFill>
            <a:srgbClr val="FF0000"/>
          </a:solidFill>
          <a:prstDash val="solid"/>
          <a:round/>
          <a:headEnd type="none" w="med" len="med"/>
          <a:tailEnd type="triangle"/>
        </a:ln>
        <a:effectLst/>
      </xdr:spPr>
    </xdr:cxnSp>
    <xdr:clientData/>
  </xdr:twoCellAnchor>
  <xdr:twoCellAnchor>
    <xdr:from>
      <xdr:col>10</xdr:col>
      <xdr:colOff>200025</xdr:colOff>
      <xdr:row>333</xdr:row>
      <xdr:rowOff>9525</xdr:rowOff>
    </xdr:from>
    <xdr:to>
      <xdr:col>10</xdr:col>
      <xdr:colOff>209550</xdr:colOff>
      <xdr:row>337</xdr:row>
      <xdr:rowOff>0</xdr:rowOff>
    </xdr:to>
    <xdr:cxnSp macro="">
      <xdr:nvCxnSpPr>
        <xdr:cNvPr id="59" name="Conector recto de flecha 58"/>
        <xdr:cNvCxnSpPr/>
      </xdr:nvCxnSpPr>
      <xdr:spPr bwMode="auto">
        <a:xfrm flipH="1" flipV="1">
          <a:off x="7743825" y="542925"/>
          <a:ext cx="9525" cy="647700"/>
        </a:xfrm>
        <a:prstGeom prst="straightConnector1">
          <a:avLst/>
        </a:prstGeom>
        <a:solidFill>
          <a:srgbClr val="FFFFFF"/>
        </a:solidFill>
        <a:ln w="19050" cap="flat" cmpd="sng" algn="ctr">
          <a:solidFill>
            <a:srgbClr val="FF0000"/>
          </a:solidFill>
          <a:prstDash val="solid"/>
          <a:round/>
          <a:headEnd type="none" w="med" len="med"/>
          <a:tailEnd type="triangle"/>
        </a:ln>
        <a:effectLst/>
      </xdr:spPr>
    </xdr:cxnSp>
    <xdr:clientData/>
  </xdr:twoCellAnchor>
  <xdr:twoCellAnchor>
    <xdr:from>
      <xdr:col>10</xdr:col>
      <xdr:colOff>190500</xdr:colOff>
      <xdr:row>338</xdr:row>
      <xdr:rowOff>9525</xdr:rowOff>
    </xdr:from>
    <xdr:to>
      <xdr:col>10</xdr:col>
      <xdr:colOff>200025</xdr:colOff>
      <xdr:row>342</xdr:row>
      <xdr:rowOff>114300</xdr:rowOff>
    </xdr:to>
    <xdr:cxnSp macro="">
      <xdr:nvCxnSpPr>
        <xdr:cNvPr id="60" name="Conector recto de flecha 59"/>
        <xdr:cNvCxnSpPr/>
      </xdr:nvCxnSpPr>
      <xdr:spPr bwMode="auto">
        <a:xfrm flipH="1">
          <a:off x="7734300" y="1362075"/>
          <a:ext cx="9525" cy="752475"/>
        </a:xfrm>
        <a:prstGeom prst="straightConnector1">
          <a:avLst/>
        </a:prstGeom>
        <a:solidFill>
          <a:srgbClr val="FFFFFF"/>
        </a:solidFill>
        <a:ln w="19050" cap="flat" cmpd="sng" algn="ctr">
          <a:solidFill>
            <a:srgbClr val="FF0000"/>
          </a:solidFill>
          <a:prstDash val="solid"/>
          <a:round/>
          <a:headEnd type="none" w="med" len="med"/>
          <a:tailEnd type="triangle"/>
        </a:ln>
        <a:effectLst/>
      </xdr:spPr>
    </xdr:cxnSp>
    <xdr:clientData/>
  </xdr:twoCellAnchor>
  <xdr:twoCellAnchor>
    <xdr:from>
      <xdr:col>10</xdr:col>
      <xdr:colOff>828675</xdr:colOff>
      <xdr:row>333</xdr:row>
      <xdr:rowOff>9525</xdr:rowOff>
    </xdr:from>
    <xdr:to>
      <xdr:col>11</xdr:col>
      <xdr:colOff>666750</xdr:colOff>
      <xdr:row>333</xdr:row>
      <xdr:rowOff>9525</xdr:rowOff>
    </xdr:to>
    <xdr:cxnSp macro="">
      <xdr:nvCxnSpPr>
        <xdr:cNvPr id="61" name="Conector recto 60"/>
        <xdr:cNvCxnSpPr/>
      </xdr:nvCxnSpPr>
      <xdr:spPr bwMode="auto">
        <a:xfrm>
          <a:off x="8372475" y="542925"/>
          <a:ext cx="676275" cy="0"/>
        </a:xfrm>
        <a:prstGeom prst="line">
          <a:avLst/>
        </a:prstGeom>
        <a:solidFill>
          <a:srgbClr val="FFFFFF"/>
        </a:solidFill>
        <a:ln w="28575" cap="flat" cmpd="sng" algn="ctr">
          <a:solidFill>
            <a:schemeClr val="bg2">
              <a:lumMod val="50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14</xdr:col>
      <xdr:colOff>342900</xdr:colOff>
      <xdr:row>331</xdr:row>
      <xdr:rowOff>38100</xdr:rowOff>
    </xdr:from>
    <xdr:to>
      <xdr:col>14</xdr:col>
      <xdr:colOff>361951</xdr:colOff>
      <xdr:row>336</xdr:row>
      <xdr:rowOff>180975</xdr:rowOff>
    </xdr:to>
    <xdr:cxnSp macro="">
      <xdr:nvCxnSpPr>
        <xdr:cNvPr id="62" name="Conector recto de flecha 61"/>
        <xdr:cNvCxnSpPr/>
      </xdr:nvCxnSpPr>
      <xdr:spPr bwMode="auto">
        <a:xfrm flipH="1" flipV="1">
          <a:off x="11239500" y="200025"/>
          <a:ext cx="19051" cy="990600"/>
        </a:xfrm>
        <a:prstGeom prst="straightConnector1">
          <a:avLst/>
        </a:prstGeom>
        <a:solidFill>
          <a:srgbClr val="FFFFFF"/>
        </a:solidFill>
        <a:ln w="19050" cap="flat" cmpd="sng" algn="ctr">
          <a:solidFill>
            <a:srgbClr val="FF0000"/>
          </a:solidFill>
          <a:prstDash val="solid"/>
          <a:round/>
          <a:headEnd type="none" w="med" len="med"/>
          <a:tailEnd type="triangle"/>
        </a:ln>
        <a:effectLst/>
      </xdr:spPr>
    </xdr:cxnSp>
    <xdr:clientData/>
  </xdr:twoCellAnchor>
  <xdr:twoCellAnchor>
    <xdr:from>
      <xdr:col>14</xdr:col>
      <xdr:colOff>352425</xdr:colOff>
      <xdr:row>338</xdr:row>
      <xdr:rowOff>0</xdr:rowOff>
    </xdr:from>
    <xdr:to>
      <xdr:col>14</xdr:col>
      <xdr:colOff>352427</xdr:colOff>
      <xdr:row>344</xdr:row>
      <xdr:rowOff>0</xdr:rowOff>
    </xdr:to>
    <xdr:cxnSp macro="">
      <xdr:nvCxnSpPr>
        <xdr:cNvPr id="63" name="Conector recto de flecha 62"/>
        <xdr:cNvCxnSpPr/>
      </xdr:nvCxnSpPr>
      <xdr:spPr bwMode="auto">
        <a:xfrm flipH="1">
          <a:off x="11249025" y="1352550"/>
          <a:ext cx="2" cy="971550"/>
        </a:xfrm>
        <a:prstGeom prst="straightConnector1">
          <a:avLst/>
        </a:prstGeom>
        <a:solidFill>
          <a:srgbClr val="FFFFFF"/>
        </a:solidFill>
        <a:ln w="19050" cap="flat" cmpd="sng" algn="ctr">
          <a:solidFill>
            <a:srgbClr val="FF0000"/>
          </a:solidFill>
          <a:prstDash val="solid"/>
          <a:round/>
          <a:headEnd type="none" w="med" len="med"/>
          <a:tailEnd type="triangle"/>
        </a:ln>
        <a:effectLst/>
      </xdr:spPr>
    </xdr:cxnSp>
    <xdr:clientData/>
  </xdr:twoCellAnchor>
  <xdr:twoCellAnchor>
    <xdr:from>
      <xdr:col>9</xdr:col>
      <xdr:colOff>666750</xdr:colOff>
      <xdr:row>334</xdr:row>
      <xdr:rowOff>104775</xdr:rowOff>
    </xdr:from>
    <xdr:to>
      <xdr:col>10</xdr:col>
      <xdr:colOff>9526</xdr:colOff>
      <xdr:row>334</xdr:row>
      <xdr:rowOff>114300</xdr:rowOff>
    </xdr:to>
    <xdr:cxnSp macro="">
      <xdr:nvCxnSpPr>
        <xdr:cNvPr id="64" name="Conector recto de flecha 63"/>
        <xdr:cNvCxnSpPr/>
      </xdr:nvCxnSpPr>
      <xdr:spPr bwMode="auto">
        <a:xfrm flipV="1">
          <a:off x="7372350" y="800100"/>
          <a:ext cx="180976" cy="9525"/>
        </a:xfrm>
        <a:prstGeom prst="straightConnector1">
          <a:avLst/>
        </a:prstGeom>
        <a:solidFill>
          <a:srgbClr val="FFFFFF"/>
        </a:solidFill>
        <a:ln w="19050" cap="flat" cmpd="sng" algn="ctr">
          <a:solidFill>
            <a:srgbClr val="FF0000"/>
          </a:solidFill>
          <a:prstDash val="solid"/>
          <a:round/>
          <a:headEnd type="none" w="med" len="med"/>
          <a:tailEnd type="triangle"/>
        </a:ln>
        <a:effectLst/>
      </xdr:spPr>
    </xdr:cxnSp>
    <xdr:clientData/>
  </xdr:twoCellAnchor>
  <xdr:twoCellAnchor>
    <xdr:from>
      <xdr:col>10</xdr:col>
      <xdr:colOff>828677</xdr:colOff>
      <xdr:row>334</xdr:row>
      <xdr:rowOff>114300</xdr:rowOff>
    </xdr:from>
    <xdr:to>
      <xdr:col>11</xdr:col>
      <xdr:colOff>190500</xdr:colOff>
      <xdr:row>334</xdr:row>
      <xdr:rowOff>114301</xdr:rowOff>
    </xdr:to>
    <xdr:cxnSp macro="">
      <xdr:nvCxnSpPr>
        <xdr:cNvPr id="65" name="Conector recto de flecha 64"/>
        <xdr:cNvCxnSpPr/>
      </xdr:nvCxnSpPr>
      <xdr:spPr bwMode="auto">
        <a:xfrm flipH="1">
          <a:off x="8372477" y="809625"/>
          <a:ext cx="200023" cy="1"/>
        </a:xfrm>
        <a:prstGeom prst="straightConnector1">
          <a:avLst/>
        </a:prstGeom>
        <a:solidFill>
          <a:srgbClr val="FFFFFF"/>
        </a:solidFill>
        <a:ln w="19050" cap="flat" cmpd="sng" algn="ctr">
          <a:solidFill>
            <a:srgbClr val="FF0000"/>
          </a:solidFill>
          <a:prstDash val="solid"/>
          <a:round/>
          <a:headEnd type="none" w="med" len="med"/>
          <a:tailEnd type="triangle"/>
        </a:ln>
        <a:effectLst/>
      </xdr:spPr>
    </xdr:cxnSp>
    <xdr:clientData/>
  </xdr:twoCellAnchor>
  <xdr:twoCellAnchor>
    <xdr:from>
      <xdr:col>11</xdr:col>
      <xdr:colOff>447675</xdr:colOff>
      <xdr:row>332</xdr:row>
      <xdr:rowOff>95250</xdr:rowOff>
    </xdr:from>
    <xdr:to>
      <xdr:col>11</xdr:col>
      <xdr:colOff>447676</xdr:colOff>
      <xdr:row>333</xdr:row>
      <xdr:rowOff>9526</xdr:rowOff>
    </xdr:to>
    <xdr:cxnSp macro="">
      <xdr:nvCxnSpPr>
        <xdr:cNvPr id="66" name="Conector recto de flecha 65"/>
        <xdr:cNvCxnSpPr/>
      </xdr:nvCxnSpPr>
      <xdr:spPr bwMode="auto">
        <a:xfrm>
          <a:off x="8829675" y="419100"/>
          <a:ext cx="1" cy="123826"/>
        </a:xfrm>
        <a:prstGeom prst="straightConnector1">
          <a:avLst/>
        </a:prstGeom>
        <a:solidFill>
          <a:srgbClr val="FFFFFF"/>
        </a:solidFill>
        <a:ln w="19050" cap="flat" cmpd="sng" algn="ctr">
          <a:solidFill>
            <a:srgbClr val="FF0000"/>
          </a:solidFill>
          <a:prstDash val="solid"/>
          <a:round/>
          <a:headEnd type="none" w="med" len="med"/>
          <a:tailEnd type="triangle"/>
        </a:ln>
        <a:effectLst/>
      </xdr:spPr>
    </xdr:cxnSp>
    <xdr:clientData/>
  </xdr:twoCellAnchor>
  <xdr:twoCellAnchor>
    <xdr:from>
      <xdr:col>11</xdr:col>
      <xdr:colOff>457203</xdr:colOff>
      <xdr:row>333</xdr:row>
      <xdr:rowOff>28576</xdr:rowOff>
    </xdr:from>
    <xdr:to>
      <xdr:col>11</xdr:col>
      <xdr:colOff>466725</xdr:colOff>
      <xdr:row>333</xdr:row>
      <xdr:rowOff>142875</xdr:rowOff>
    </xdr:to>
    <xdr:cxnSp macro="">
      <xdr:nvCxnSpPr>
        <xdr:cNvPr id="67" name="Conector recto de flecha 66"/>
        <xdr:cNvCxnSpPr/>
      </xdr:nvCxnSpPr>
      <xdr:spPr bwMode="auto">
        <a:xfrm flipH="1" flipV="1">
          <a:off x="8839203" y="561976"/>
          <a:ext cx="9522" cy="114299"/>
        </a:xfrm>
        <a:prstGeom prst="straightConnector1">
          <a:avLst/>
        </a:prstGeom>
        <a:solidFill>
          <a:srgbClr val="FFFFFF"/>
        </a:solidFill>
        <a:ln w="19050" cap="flat" cmpd="sng" algn="ctr">
          <a:solidFill>
            <a:srgbClr val="FF0000"/>
          </a:solidFill>
          <a:prstDash val="solid"/>
          <a:round/>
          <a:headEnd type="none" w="med" len="med"/>
          <a:tailEnd type="triangle"/>
        </a:ln>
        <a:effectLst/>
      </xdr:spPr>
    </xdr:cxnSp>
    <xdr:clientData/>
  </xdr:twoCellAnchor>
  <xdr:twoCellAnchor>
    <xdr:from>
      <xdr:col>13</xdr:col>
      <xdr:colOff>704850</xdr:colOff>
      <xdr:row>331</xdr:row>
      <xdr:rowOff>47625</xdr:rowOff>
    </xdr:from>
    <xdr:to>
      <xdr:col>14</xdr:col>
      <xdr:colOff>542925</xdr:colOff>
      <xdr:row>331</xdr:row>
      <xdr:rowOff>47625</xdr:rowOff>
    </xdr:to>
    <xdr:cxnSp macro="">
      <xdr:nvCxnSpPr>
        <xdr:cNvPr id="68" name="Conector recto 67"/>
        <xdr:cNvCxnSpPr/>
      </xdr:nvCxnSpPr>
      <xdr:spPr bwMode="auto">
        <a:xfrm>
          <a:off x="10763250" y="209550"/>
          <a:ext cx="676275" cy="0"/>
        </a:xfrm>
        <a:prstGeom prst="line">
          <a:avLst/>
        </a:prstGeom>
        <a:solidFill>
          <a:srgbClr val="FFFFFF"/>
        </a:solidFill>
        <a:ln w="2857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13</xdr:col>
      <xdr:colOff>687917</xdr:colOff>
      <xdr:row>343</xdr:row>
      <xdr:rowOff>168275</xdr:rowOff>
    </xdr:from>
    <xdr:to>
      <xdr:col>14</xdr:col>
      <xdr:colOff>525992</xdr:colOff>
      <xdr:row>343</xdr:row>
      <xdr:rowOff>168275</xdr:rowOff>
    </xdr:to>
    <xdr:cxnSp macro="">
      <xdr:nvCxnSpPr>
        <xdr:cNvPr id="69" name="Conector recto 68"/>
        <xdr:cNvCxnSpPr/>
      </xdr:nvCxnSpPr>
      <xdr:spPr bwMode="auto">
        <a:xfrm>
          <a:off x="10746317" y="2320925"/>
          <a:ext cx="676275" cy="0"/>
        </a:xfrm>
        <a:prstGeom prst="line">
          <a:avLst/>
        </a:prstGeom>
        <a:solidFill>
          <a:srgbClr val="FFFFFF"/>
        </a:solidFill>
        <a:ln w="2857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11</xdr:col>
      <xdr:colOff>0</xdr:colOff>
      <xdr:row>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3" name="Rectángulo 2"/>
        <xdr:cNvSpPr/>
      </xdr:nvSpPr>
      <xdr:spPr bwMode="auto">
        <a:xfrm>
          <a:off x="8810625" y="1438275"/>
          <a:ext cx="2514600" cy="2095500"/>
        </a:xfrm>
        <a:prstGeom prst="rect">
          <a:avLst/>
        </a:prstGeom>
        <a:noFill/>
        <a:ln w="19050" cap="flat" cmpd="sng" algn="ctr">
          <a:solidFill>
            <a:schemeClr val="bg2">
              <a:lumMod val="25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s-PE" sz="1100"/>
        </a:p>
      </xdr:txBody>
    </xdr:sp>
    <xdr:clientData/>
  </xdr:twoCellAnchor>
  <xdr:twoCellAnchor>
    <xdr:from>
      <xdr:col>11</xdr:col>
      <xdr:colOff>0</xdr:colOff>
      <xdr:row>4</xdr:row>
      <xdr:rowOff>190499</xdr:rowOff>
    </xdr:from>
    <xdr:to>
      <xdr:col>13</xdr:col>
      <xdr:colOff>838199</xdr:colOff>
      <xdr:row>6</xdr:row>
      <xdr:rowOff>200024</xdr:rowOff>
    </xdr:to>
    <xdr:sp macro="" textlink="">
      <xdr:nvSpPr>
        <xdr:cNvPr id="4" name="Rectángulo 3"/>
        <xdr:cNvSpPr/>
      </xdr:nvSpPr>
      <xdr:spPr bwMode="auto">
        <a:xfrm flipV="1">
          <a:off x="8810625" y="1019174"/>
          <a:ext cx="2514599" cy="409575"/>
        </a:xfrm>
        <a:prstGeom prst="rect">
          <a:avLst/>
        </a:prstGeom>
        <a:noFill/>
        <a:ln w="19050" cap="flat" cmpd="sng" algn="ctr">
          <a:solidFill>
            <a:schemeClr val="bg2">
              <a:lumMod val="25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s-PE" sz="1100"/>
        </a:p>
      </xdr:txBody>
    </xdr:sp>
    <xdr:clientData/>
  </xdr:twoCellAnchor>
  <xdr:twoCellAnchor>
    <xdr:from>
      <xdr:col>10</xdr:col>
      <xdr:colOff>581025</xdr:colOff>
      <xdr:row>18</xdr:row>
      <xdr:rowOff>0</xdr:rowOff>
    </xdr:from>
    <xdr:to>
      <xdr:col>14</xdr:col>
      <xdr:colOff>219075</xdr:colOff>
      <xdr:row>18</xdr:row>
      <xdr:rowOff>0</xdr:rowOff>
    </xdr:to>
    <xdr:cxnSp macro="">
      <xdr:nvCxnSpPr>
        <xdr:cNvPr id="6" name="Conector recto 5"/>
        <xdr:cNvCxnSpPr/>
      </xdr:nvCxnSpPr>
      <xdr:spPr bwMode="auto">
        <a:xfrm>
          <a:off x="8553450" y="3743325"/>
          <a:ext cx="2990850" cy="0"/>
        </a:xfrm>
        <a:prstGeom prst="line">
          <a:avLst/>
        </a:prstGeom>
        <a:solidFill>
          <a:srgbClr val="FFFFFF"/>
        </a:solidFill>
        <a:ln w="9525" cap="flat" cmpd="sng" algn="ctr">
          <a:solidFill>
            <a:schemeClr val="bg2">
              <a:lumMod val="25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10</xdr:col>
      <xdr:colOff>571500</xdr:colOff>
      <xdr:row>17</xdr:row>
      <xdr:rowOff>0</xdr:rowOff>
    </xdr:from>
    <xdr:to>
      <xdr:col>14</xdr:col>
      <xdr:colOff>209550</xdr:colOff>
      <xdr:row>17</xdr:row>
      <xdr:rowOff>0</xdr:rowOff>
    </xdr:to>
    <xdr:cxnSp macro="">
      <xdr:nvCxnSpPr>
        <xdr:cNvPr id="75" name="Conector recto 74"/>
        <xdr:cNvCxnSpPr/>
      </xdr:nvCxnSpPr>
      <xdr:spPr bwMode="auto">
        <a:xfrm>
          <a:off x="8543925" y="3533775"/>
          <a:ext cx="2990850" cy="0"/>
        </a:xfrm>
        <a:prstGeom prst="line">
          <a:avLst/>
        </a:prstGeom>
        <a:solidFill>
          <a:srgbClr val="FFFFFF"/>
        </a:solidFill>
        <a:ln w="9525" cap="flat" cmpd="sng" algn="ctr">
          <a:solidFill>
            <a:schemeClr val="bg2">
              <a:lumMod val="25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10</xdr:col>
      <xdr:colOff>561975</xdr:colOff>
      <xdr:row>17</xdr:row>
      <xdr:rowOff>0</xdr:rowOff>
    </xdr:from>
    <xdr:to>
      <xdr:col>14</xdr:col>
      <xdr:colOff>219075</xdr:colOff>
      <xdr:row>17</xdr:row>
      <xdr:rowOff>200025</xdr:rowOff>
    </xdr:to>
    <xdr:sp macro="" textlink="">
      <xdr:nvSpPr>
        <xdr:cNvPr id="9" name="Rectángulo redondeado 8"/>
        <xdr:cNvSpPr/>
      </xdr:nvSpPr>
      <xdr:spPr bwMode="auto">
        <a:xfrm>
          <a:off x="8534400" y="3533775"/>
          <a:ext cx="3009900" cy="200025"/>
        </a:xfrm>
        <a:prstGeom prst="roundRect">
          <a:avLst/>
        </a:prstGeom>
        <a:solidFill>
          <a:schemeClr val="bg1">
            <a:lumMod val="65000"/>
          </a:schemeClr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s-PE" sz="1100"/>
        </a:p>
      </xdr:txBody>
    </xdr:sp>
    <xdr:clientData/>
  </xdr:twoCellAnchor>
  <xdr:twoCellAnchor>
    <xdr:from>
      <xdr:col>12</xdr:col>
      <xdr:colOff>238125</xdr:colOff>
      <xdr:row>6</xdr:row>
      <xdr:rowOff>95249</xdr:rowOff>
    </xdr:from>
    <xdr:to>
      <xdr:col>12</xdr:col>
      <xdr:colOff>342900</xdr:colOff>
      <xdr:row>6</xdr:row>
      <xdr:rowOff>200024</xdr:rowOff>
    </xdr:to>
    <xdr:sp macro="" textlink="">
      <xdr:nvSpPr>
        <xdr:cNvPr id="10" name="Triángulo isósceles 9"/>
        <xdr:cNvSpPr/>
      </xdr:nvSpPr>
      <xdr:spPr bwMode="auto">
        <a:xfrm flipV="1">
          <a:off x="9886950" y="1323974"/>
          <a:ext cx="104775" cy="104775"/>
        </a:xfrm>
        <a:prstGeom prst="triangle">
          <a:avLst/>
        </a:prstGeom>
        <a:noFill/>
        <a:ln w="9525" cap="flat" cmpd="sng" algn="ctr">
          <a:solidFill>
            <a:schemeClr val="bg2">
              <a:lumMod val="25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s-PE" sz="1100"/>
        </a:p>
      </xdr:txBody>
    </xdr:sp>
    <xdr:clientData/>
  </xdr:twoCellAnchor>
  <xdr:twoCellAnchor>
    <xdr:from>
      <xdr:col>12</xdr:col>
      <xdr:colOff>208643</xdr:colOff>
      <xdr:row>7</xdr:row>
      <xdr:rowOff>45357</xdr:rowOff>
    </xdr:from>
    <xdr:to>
      <xdr:col>12</xdr:col>
      <xdr:colOff>385536</xdr:colOff>
      <xdr:row>7</xdr:row>
      <xdr:rowOff>45357</xdr:rowOff>
    </xdr:to>
    <xdr:cxnSp macro="">
      <xdr:nvCxnSpPr>
        <xdr:cNvPr id="12" name="Conector recto 11"/>
        <xdr:cNvCxnSpPr/>
      </xdr:nvCxnSpPr>
      <xdr:spPr bwMode="auto">
        <a:xfrm>
          <a:off x="9869714" y="1478643"/>
          <a:ext cx="176893" cy="0"/>
        </a:xfrm>
        <a:prstGeom prst="line">
          <a:avLst/>
        </a:prstGeom>
        <a:solidFill>
          <a:srgbClr val="FFFFFF"/>
        </a:solidFill>
        <a:ln w="9525" cap="flat" cmpd="sng" algn="ctr">
          <a:solidFill>
            <a:schemeClr val="bg2">
              <a:lumMod val="25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12</xdr:col>
      <xdr:colOff>220436</xdr:colOff>
      <xdr:row>7</xdr:row>
      <xdr:rowOff>66222</xdr:rowOff>
    </xdr:from>
    <xdr:to>
      <xdr:col>12</xdr:col>
      <xdr:colOff>358322</xdr:colOff>
      <xdr:row>7</xdr:row>
      <xdr:rowOff>68035</xdr:rowOff>
    </xdr:to>
    <xdr:cxnSp macro="">
      <xdr:nvCxnSpPr>
        <xdr:cNvPr id="85" name="Conector recto 84"/>
        <xdr:cNvCxnSpPr/>
      </xdr:nvCxnSpPr>
      <xdr:spPr bwMode="auto">
        <a:xfrm>
          <a:off x="9881507" y="1499508"/>
          <a:ext cx="137886" cy="1813"/>
        </a:xfrm>
        <a:prstGeom prst="line">
          <a:avLst/>
        </a:prstGeom>
        <a:solidFill>
          <a:srgbClr val="FFFFFF"/>
        </a:solidFill>
        <a:ln w="9525" cap="flat" cmpd="sng" algn="ctr">
          <a:solidFill>
            <a:schemeClr val="bg2">
              <a:lumMod val="25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12</xdr:col>
      <xdr:colOff>259443</xdr:colOff>
      <xdr:row>7</xdr:row>
      <xdr:rowOff>95250</xdr:rowOff>
    </xdr:from>
    <xdr:to>
      <xdr:col>12</xdr:col>
      <xdr:colOff>340179</xdr:colOff>
      <xdr:row>7</xdr:row>
      <xdr:rowOff>96157</xdr:rowOff>
    </xdr:to>
    <xdr:cxnSp macro="">
      <xdr:nvCxnSpPr>
        <xdr:cNvPr id="86" name="Conector recto 85"/>
        <xdr:cNvCxnSpPr/>
      </xdr:nvCxnSpPr>
      <xdr:spPr bwMode="auto">
        <a:xfrm flipV="1">
          <a:off x="9920514" y="1528536"/>
          <a:ext cx="80736" cy="907"/>
        </a:xfrm>
        <a:prstGeom prst="line">
          <a:avLst/>
        </a:prstGeom>
        <a:solidFill>
          <a:srgbClr val="FFFFFF"/>
        </a:solidFill>
        <a:ln w="9525" cap="flat" cmpd="sng" algn="ctr">
          <a:solidFill>
            <a:schemeClr val="bg2">
              <a:lumMod val="25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11</xdr:col>
      <xdr:colOff>600075</xdr:colOff>
      <xdr:row>10</xdr:row>
      <xdr:rowOff>0</xdr:rowOff>
    </xdr:from>
    <xdr:to>
      <xdr:col>13</xdr:col>
      <xdr:colOff>219075</xdr:colOff>
      <xdr:row>13</xdr:row>
      <xdr:rowOff>0</xdr:rowOff>
    </xdr:to>
    <xdr:sp macro="" textlink="">
      <xdr:nvSpPr>
        <xdr:cNvPr id="21" name="Rectángulo 20"/>
        <xdr:cNvSpPr/>
      </xdr:nvSpPr>
      <xdr:spPr bwMode="auto">
        <a:xfrm>
          <a:off x="9410700" y="2066925"/>
          <a:ext cx="1295400" cy="628650"/>
        </a:xfrm>
        <a:prstGeom prst="rect">
          <a:avLst/>
        </a:prstGeom>
        <a:ln w="9525"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pPr algn="l"/>
          <a:endParaRPr lang="es-PE" sz="1100"/>
        </a:p>
      </xdr:txBody>
    </xdr:sp>
    <xdr:clientData/>
  </xdr:twoCellAnchor>
  <xdr:twoCellAnchor>
    <xdr:from>
      <xdr:col>11</xdr:col>
      <xdr:colOff>685800</xdr:colOff>
      <xdr:row>10</xdr:row>
      <xdr:rowOff>0</xdr:rowOff>
    </xdr:from>
    <xdr:to>
      <xdr:col>11</xdr:col>
      <xdr:colOff>685800</xdr:colOff>
      <xdr:row>13</xdr:row>
      <xdr:rowOff>9525</xdr:rowOff>
    </xdr:to>
    <xdr:cxnSp macro="">
      <xdr:nvCxnSpPr>
        <xdr:cNvPr id="23" name="Conector recto 22"/>
        <xdr:cNvCxnSpPr/>
      </xdr:nvCxnSpPr>
      <xdr:spPr bwMode="auto">
        <a:xfrm>
          <a:off x="9496425" y="2066925"/>
          <a:ext cx="0" cy="638175"/>
        </a:xfrm>
        <a:prstGeom prst="line">
          <a:avLst/>
        </a:prstGeom>
        <a:solidFill>
          <a:srgbClr val="FFFFFF"/>
        </a:solidFill>
        <a:ln w="3810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11</xdr:col>
      <xdr:colOff>771525</xdr:colOff>
      <xdr:row>10</xdr:row>
      <xdr:rowOff>0</xdr:rowOff>
    </xdr:from>
    <xdr:to>
      <xdr:col>11</xdr:col>
      <xdr:colOff>771525</xdr:colOff>
      <xdr:row>13</xdr:row>
      <xdr:rowOff>9525</xdr:rowOff>
    </xdr:to>
    <xdr:cxnSp macro="">
      <xdr:nvCxnSpPr>
        <xdr:cNvPr id="94" name="Conector recto 93"/>
        <xdr:cNvCxnSpPr/>
      </xdr:nvCxnSpPr>
      <xdr:spPr bwMode="auto">
        <a:xfrm>
          <a:off x="9582150" y="2066925"/>
          <a:ext cx="0" cy="638175"/>
        </a:xfrm>
        <a:prstGeom prst="line">
          <a:avLst/>
        </a:prstGeom>
        <a:solidFill>
          <a:srgbClr val="FFFFFF"/>
        </a:solidFill>
        <a:ln w="3810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12</xdr:col>
      <xdr:colOff>19050</xdr:colOff>
      <xdr:row>10</xdr:row>
      <xdr:rowOff>0</xdr:rowOff>
    </xdr:from>
    <xdr:to>
      <xdr:col>12</xdr:col>
      <xdr:colOff>19050</xdr:colOff>
      <xdr:row>13</xdr:row>
      <xdr:rowOff>9525</xdr:rowOff>
    </xdr:to>
    <xdr:cxnSp macro="">
      <xdr:nvCxnSpPr>
        <xdr:cNvPr id="95" name="Conector recto 94"/>
        <xdr:cNvCxnSpPr/>
      </xdr:nvCxnSpPr>
      <xdr:spPr bwMode="auto">
        <a:xfrm>
          <a:off x="9667875" y="2066925"/>
          <a:ext cx="0" cy="638175"/>
        </a:xfrm>
        <a:prstGeom prst="line">
          <a:avLst/>
        </a:prstGeom>
        <a:solidFill>
          <a:srgbClr val="FFFFFF"/>
        </a:solidFill>
        <a:ln w="3810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12</xdr:col>
      <xdr:colOff>114300</xdr:colOff>
      <xdr:row>10</xdr:row>
      <xdr:rowOff>9525</xdr:rowOff>
    </xdr:from>
    <xdr:to>
      <xdr:col>12</xdr:col>
      <xdr:colOff>114300</xdr:colOff>
      <xdr:row>13</xdr:row>
      <xdr:rowOff>19050</xdr:rowOff>
    </xdr:to>
    <xdr:cxnSp macro="">
      <xdr:nvCxnSpPr>
        <xdr:cNvPr id="101" name="Conector recto 100"/>
        <xdr:cNvCxnSpPr/>
      </xdr:nvCxnSpPr>
      <xdr:spPr bwMode="auto">
        <a:xfrm>
          <a:off x="9763125" y="2076450"/>
          <a:ext cx="0" cy="638175"/>
        </a:xfrm>
        <a:prstGeom prst="line">
          <a:avLst/>
        </a:prstGeom>
        <a:solidFill>
          <a:srgbClr val="FFFFFF"/>
        </a:solidFill>
        <a:ln w="3810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12</xdr:col>
      <xdr:colOff>200025</xdr:colOff>
      <xdr:row>10</xdr:row>
      <xdr:rowOff>9525</xdr:rowOff>
    </xdr:from>
    <xdr:to>
      <xdr:col>12</xdr:col>
      <xdr:colOff>200025</xdr:colOff>
      <xdr:row>13</xdr:row>
      <xdr:rowOff>19050</xdr:rowOff>
    </xdr:to>
    <xdr:cxnSp macro="">
      <xdr:nvCxnSpPr>
        <xdr:cNvPr id="102" name="Conector recto 101"/>
        <xdr:cNvCxnSpPr/>
      </xdr:nvCxnSpPr>
      <xdr:spPr bwMode="auto">
        <a:xfrm>
          <a:off x="9848850" y="2076450"/>
          <a:ext cx="0" cy="638175"/>
        </a:xfrm>
        <a:prstGeom prst="line">
          <a:avLst/>
        </a:prstGeom>
        <a:solidFill>
          <a:srgbClr val="FFFFFF"/>
        </a:solidFill>
        <a:ln w="3810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12</xdr:col>
      <xdr:colOff>285750</xdr:colOff>
      <xdr:row>10</xdr:row>
      <xdr:rowOff>9525</xdr:rowOff>
    </xdr:from>
    <xdr:to>
      <xdr:col>12</xdr:col>
      <xdr:colOff>285750</xdr:colOff>
      <xdr:row>13</xdr:row>
      <xdr:rowOff>19050</xdr:rowOff>
    </xdr:to>
    <xdr:cxnSp macro="">
      <xdr:nvCxnSpPr>
        <xdr:cNvPr id="103" name="Conector recto 102"/>
        <xdr:cNvCxnSpPr/>
      </xdr:nvCxnSpPr>
      <xdr:spPr bwMode="auto">
        <a:xfrm>
          <a:off x="9934575" y="2076450"/>
          <a:ext cx="0" cy="638175"/>
        </a:xfrm>
        <a:prstGeom prst="line">
          <a:avLst/>
        </a:prstGeom>
        <a:solidFill>
          <a:srgbClr val="FFFFFF"/>
        </a:solidFill>
        <a:ln w="3810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12</xdr:col>
      <xdr:colOff>371475</xdr:colOff>
      <xdr:row>10</xdr:row>
      <xdr:rowOff>0</xdr:rowOff>
    </xdr:from>
    <xdr:to>
      <xdr:col>12</xdr:col>
      <xdr:colOff>371475</xdr:colOff>
      <xdr:row>13</xdr:row>
      <xdr:rowOff>9525</xdr:rowOff>
    </xdr:to>
    <xdr:cxnSp macro="">
      <xdr:nvCxnSpPr>
        <xdr:cNvPr id="104" name="Conector recto 103"/>
        <xdr:cNvCxnSpPr/>
      </xdr:nvCxnSpPr>
      <xdr:spPr bwMode="auto">
        <a:xfrm>
          <a:off x="10020300" y="2066925"/>
          <a:ext cx="0" cy="638175"/>
        </a:xfrm>
        <a:prstGeom prst="line">
          <a:avLst/>
        </a:prstGeom>
        <a:solidFill>
          <a:srgbClr val="FFFFFF"/>
        </a:solidFill>
        <a:ln w="3810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12</xdr:col>
      <xdr:colOff>457200</xdr:colOff>
      <xdr:row>10</xdr:row>
      <xdr:rowOff>0</xdr:rowOff>
    </xdr:from>
    <xdr:to>
      <xdr:col>12</xdr:col>
      <xdr:colOff>457200</xdr:colOff>
      <xdr:row>13</xdr:row>
      <xdr:rowOff>9525</xdr:rowOff>
    </xdr:to>
    <xdr:cxnSp macro="">
      <xdr:nvCxnSpPr>
        <xdr:cNvPr id="105" name="Conector recto 104"/>
        <xdr:cNvCxnSpPr/>
      </xdr:nvCxnSpPr>
      <xdr:spPr bwMode="auto">
        <a:xfrm>
          <a:off x="10106025" y="2066925"/>
          <a:ext cx="0" cy="638175"/>
        </a:xfrm>
        <a:prstGeom prst="line">
          <a:avLst/>
        </a:prstGeom>
        <a:solidFill>
          <a:srgbClr val="FFFFFF"/>
        </a:solidFill>
        <a:ln w="3810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12</xdr:col>
      <xdr:colOff>542925</xdr:colOff>
      <xdr:row>10</xdr:row>
      <xdr:rowOff>0</xdr:rowOff>
    </xdr:from>
    <xdr:to>
      <xdr:col>12</xdr:col>
      <xdr:colOff>542925</xdr:colOff>
      <xdr:row>13</xdr:row>
      <xdr:rowOff>9525</xdr:rowOff>
    </xdr:to>
    <xdr:cxnSp macro="">
      <xdr:nvCxnSpPr>
        <xdr:cNvPr id="106" name="Conector recto 105"/>
        <xdr:cNvCxnSpPr/>
      </xdr:nvCxnSpPr>
      <xdr:spPr bwMode="auto">
        <a:xfrm>
          <a:off x="10191750" y="2066925"/>
          <a:ext cx="0" cy="638175"/>
        </a:xfrm>
        <a:prstGeom prst="line">
          <a:avLst/>
        </a:prstGeom>
        <a:solidFill>
          <a:srgbClr val="FFFFFF"/>
        </a:solidFill>
        <a:ln w="3810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12</xdr:col>
      <xdr:colOff>638175</xdr:colOff>
      <xdr:row>10</xdr:row>
      <xdr:rowOff>9525</xdr:rowOff>
    </xdr:from>
    <xdr:to>
      <xdr:col>12</xdr:col>
      <xdr:colOff>638175</xdr:colOff>
      <xdr:row>13</xdr:row>
      <xdr:rowOff>19050</xdr:rowOff>
    </xdr:to>
    <xdr:cxnSp macro="">
      <xdr:nvCxnSpPr>
        <xdr:cNvPr id="107" name="Conector recto 106"/>
        <xdr:cNvCxnSpPr/>
      </xdr:nvCxnSpPr>
      <xdr:spPr bwMode="auto">
        <a:xfrm>
          <a:off x="10287000" y="2076450"/>
          <a:ext cx="0" cy="638175"/>
        </a:xfrm>
        <a:prstGeom prst="line">
          <a:avLst/>
        </a:prstGeom>
        <a:solidFill>
          <a:srgbClr val="FFFFFF"/>
        </a:solidFill>
        <a:ln w="3810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12</xdr:col>
      <xdr:colOff>723900</xdr:colOff>
      <xdr:row>10</xdr:row>
      <xdr:rowOff>9525</xdr:rowOff>
    </xdr:from>
    <xdr:to>
      <xdr:col>12</xdr:col>
      <xdr:colOff>723900</xdr:colOff>
      <xdr:row>13</xdr:row>
      <xdr:rowOff>19050</xdr:rowOff>
    </xdr:to>
    <xdr:cxnSp macro="">
      <xdr:nvCxnSpPr>
        <xdr:cNvPr id="108" name="Conector recto 107"/>
        <xdr:cNvCxnSpPr/>
      </xdr:nvCxnSpPr>
      <xdr:spPr bwMode="auto">
        <a:xfrm>
          <a:off x="10372725" y="2076450"/>
          <a:ext cx="0" cy="638175"/>
        </a:xfrm>
        <a:prstGeom prst="line">
          <a:avLst/>
        </a:prstGeom>
        <a:solidFill>
          <a:srgbClr val="FFFFFF"/>
        </a:solidFill>
        <a:ln w="3810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12</xdr:col>
      <xdr:colOff>809625</xdr:colOff>
      <xdr:row>10</xdr:row>
      <xdr:rowOff>9525</xdr:rowOff>
    </xdr:from>
    <xdr:to>
      <xdr:col>12</xdr:col>
      <xdr:colOff>809625</xdr:colOff>
      <xdr:row>13</xdr:row>
      <xdr:rowOff>19050</xdr:rowOff>
    </xdr:to>
    <xdr:cxnSp macro="">
      <xdr:nvCxnSpPr>
        <xdr:cNvPr id="109" name="Conector recto 108"/>
        <xdr:cNvCxnSpPr/>
      </xdr:nvCxnSpPr>
      <xdr:spPr bwMode="auto">
        <a:xfrm>
          <a:off x="10458450" y="2076450"/>
          <a:ext cx="0" cy="638175"/>
        </a:xfrm>
        <a:prstGeom prst="line">
          <a:avLst/>
        </a:prstGeom>
        <a:solidFill>
          <a:srgbClr val="FFFFFF"/>
        </a:solidFill>
        <a:ln w="3810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13</xdr:col>
      <xdr:colOff>57150</xdr:colOff>
      <xdr:row>10</xdr:row>
      <xdr:rowOff>9525</xdr:rowOff>
    </xdr:from>
    <xdr:to>
      <xdr:col>13</xdr:col>
      <xdr:colOff>57150</xdr:colOff>
      <xdr:row>13</xdr:row>
      <xdr:rowOff>19050</xdr:rowOff>
    </xdr:to>
    <xdr:cxnSp macro="">
      <xdr:nvCxnSpPr>
        <xdr:cNvPr id="110" name="Conector recto 109"/>
        <xdr:cNvCxnSpPr/>
      </xdr:nvCxnSpPr>
      <xdr:spPr bwMode="auto">
        <a:xfrm>
          <a:off x="10544175" y="2076450"/>
          <a:ext cx="0" cy="638175"/>
        </a:xfrm>
        <a:prstGeom prst="line">
          <a:avLst/>
        </a:prstGeom>
        <a:solidFill>
          <a:srgbClr val="FFFFFF"/>
        </a:solidFill>
        <a:ln w="3810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13</xdr:col>
      <xdr:colOff>142875</xdr:colOff>
      <xdr:row>10</xdr:row>
      <xdr:rowOff>9525</xdr:rowOff>
    </xdr:from>
    <xdr:to>
      <xdr:col>13</xdr:col>
      <xdr:colOff>142875</xdr:colOff>
      <xdr:row>13</xdr:row>
      <xdr:rowOff>19050</xdr:rowOff>
    </xdr:to>
    <xdr:cxnSp macro="">
      <xdr:nvCxnSpPr>
        <xdr:cNvPr id="111" name="Conector recto 110"/>
        <xdr:cNvCxnSpPr/>
      </xdr:nvCxnSpPr>
      <xdr:spPr bwMode="auto">
        <a:xfrm>
          <a:off x="10629900" y="2076450"/>
          <a:ext cx="0" cy="638175"/>
        </a:xfrm>
        <a:prstGeom prst="line">
          <a:avLst/>
        </a:prstGeom>
        <a:solidFill>
          <a:srgbClr val="FFFFFF"/>
        </a:solidFill>
        <a:ln w="3810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13</xdr:col>
      <xdr:colOff>276225</xdr:colOff>
      <xdr:row>10</xdr:row>
      <xdr:rowOff>0</xdr:rowOff>
    </xdr:from>
    <xdr:to>
      <xdr:col>13</xdr:col>
      <xdr:colOff>419100</xdr:colOff>
      <xdr:row>10</xdr:row>
      <xdr:rowOff>0</xdr:rowOff>
    </xdr:to>
    <xdr:cxnSp macro="">
      <xdr:nvCxnSpPr>
        <xdr:cNvPr id="26" name="Conector recto 25"/>
        <xdr:cNvCxnSpPr/>
      </xdr:nvCxnSpPr>
      <xdr:spPr bwMode="auto">
        <a:xfrm>
          <a:off x="10763250" y="2066925"/>
          <a:ext cx="142875" cy="0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13</xdr:col>
      <xdr:colOff>276225</xdr:colOff>
      <xdr:row>12</xdr:row>
      <xdr:rowOff>200025</xdr:rowOff>
    </xdr:from>
    <xdr:to>
      <xdr:col>13</xdr:col>
      <xdr:colOff>676275</xdr:colOff>
      <xdr:row>12</xdr:row>
      <xdr:rowOff>200025</xdr:rowOff>
    </xdr:to>
    <xdr:cxnSp macro="">
      <xdr:nvCxnSpPr>
        <xdr:cNvPr id="116" name="Conector recto 115"/>
        <xdr:cNvCxnSpPr/>
      </xdr:nvCxnSpPr>
      <xdr:spPr bwMode="auto">
        <a:xfrm>
          <a:off x="10763250" y="2686050"/>
          <a:ext cx="400050" cy="0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14</xdr:col>
      <xdr:colOff>28575</xdr:colOff>
      <xdr:row>9</xdr:row>
      <xdr:rowOff>200025</xdr:rowOff>
    </xdr:from>
    <xdr:to>
      <xdr:col>14</xdr:col>
      <xdr:colOff>171450</xdr:colOff>
      <xdr:row>9</xdr:row>
      <xdr:rowOff>200025</xdr:rowOff>
    </xdr:to>
    <xdr:cxnSp macro="">
      <xdr:nvCxnSpPr>
        <xdr:cNvPr id="117" name="Conector recto 116"/>
        <xdr:cNvCxnSpPr/>
      </xdr:nvCxnSpPr>
      <xdr:spPr bwMode="auto">
        <a:xfrm>
          <a:off x="11353800" y="2057400"/>
          <a:ext cx="142875" cy="0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14</xdr:col>
      <xdr:colOff>19050</xdr:colOff>
      <xdr:row>16</xdr:row>
      <xdr:rowOff>200025</xdr:rowOff>
    </xdr:from>
    <xdr:to>
      <xdr:col>14</xdr:col>
      <xdr:colOff>161925</xdr:colOff>
      <xdr:row>16</xdr:row>
      <xdr:rowOff>200025</xdr:rowOff>
    </xdr:to>
    <xdr:cxnSp macro="">
      <xdr:nvCxnSpPr>
        <xdr:cNvPr id="118" name="Conector recto 117"/>
        <xdr:cNvCxnSpPr/>
      </xdr:nvCxnSpPr>
      <xdr:spPr bwMode="auto">
        <a:xfrm>
          <a:off x="11344275" y="3524250"/>
          <a:ext cx="142875" cy="0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10</xdr:col>
      <xdr:colOff>609600</xdr:colOff>
      <xdr:row>7</xdr:row>
      <xdr:rowOff>0</xdr:rowOff>
    </xdr:from>
    <xdr:to>
      <xdr:col>10</xdr:col>
      <xdr:colOff>752475</xdr:colOff>
      <xdr:row>7</xdr:row>
      <xdr:rowOff>0</xdr:rowOff>
    </xdr:to>
    <xdr:cxnSp macro="">
      <xdr:nvCxnSpPr>
        <xdr:cNvPr id="119" name="Conector recto 118"/>
        <xdr:cNvCxnSpPr/>
      </xdr:nvCxnSpPr>
      <xdr:spPr bwMode="auto">
        <a:xfrm>
          <a:off x="8582025" y="1438275"/>
          <a:ext cx="142875" cy="0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10</xdr:col>
      <xdr:colOff>581025</xdr:colOff>
      <xdr:row>16</xdr:row>
      <xdr:rowOff>200025</xdr:rowOff>
    </xdr:from>
    <xdr:to>
      <xdr:col>10</xdr:col>
      <xdr:colOff>723900</xdr:colOff>
      <xdr:row>16</xdr:row>
      <xdr:rowOff>200025</xdr:rowOff>
    </xdr:to>
    <xdr:cxnSp macro="">
      <xdr:nvCxnSpPr>
        <xdr:cNvPr id="120" name="Conector recto 119"/>
        <xdr:cNvCxnSpPr/>
      </xdr:nvCxnSpPr>
      <xdr:spPr bwMode="auto">
        <a:xfrm>
          <a:off x="8553450" y="3524250"/>
          <a:ext cx="142875" cy="0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10</xdr:col>
      <xdr:colOff>685800</xdr:colOff>
      <xdr:row>7</xdr:row>
      <xdr:rowOff>9526</xdr:rowOff>
    </xdr:from>
    <xdr:to>
      <xdr:col>10</xdr:col>
      <xdr:colOff>695325</xdr:colOff>
      <xdr:row>10</xdr:row>
      <xdr:rowOff>180975</xdr:rowOff>
    </xdr:to>
    <xdr:cxnSp macro="">
      <xdr:nvCxnSpPr>
        <xdr:cNvPr id="29" name="Conector recto de flecha 28"/>
        <xdr:cNvCxnSpPr/>
      </xdr:nvCxnSpPr>
      <xdr:spPr bwMode="auto">
        <a:xfrm flipH="1" flipV="1">
          <a:off x="8658225" y="1447801"/>
          <a:ext cx="9525" cy="800099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triangle"/>
        </a:ln>
        <a:effectLst/>
      </xdr:spPr>
    </xdr:cxnSp>
    <xdr:clientData/>
  </xdr:twoCellAnchor>
  <xdr:twoCellAnchor>
    <xdr:from>
      <xdr:col>10</xdr:col>
      <xdr:colOff>676275</xdr:colOff>
      <xdr:row>12</xdr:row>
      <xdr:rowOff>0</xdr:rowOff>
    </xdr:from>
    <xdr:to>
      <xdr:col>10</xdr:col>
      <xdr:colOff>685801</xdr:colOff>
      <xdr:row>16</xdr:row>
      <xdr:rowOff>190502</xdr:rowOff>
    </xdr:to>
    <xdr:cxnSp macro="">
      <xdr:nvCxnSpPr>
        <xdr:cNvPr id="125" name="Conector recto de flecha 124"/>
        <xdr:cNvCxnSpPr/>
      </xdr:nvCxnSpPr>
      <xdr:spPr bwMode="auto">
        <a:xfrm>
          <a:off x="8648700" y="2486025"/>
          <a:ext cx="9526" cy="1028702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triangle"/>
        </a:ln>
        <a:effectLst/>
      </xdr:spPr>
    </xdr:cxnSp>
    <xdr:clientData/>
  </xdr:twoCellAnchor>
  <xdr:twoCellAnchor>
    <xdr:from>
      <xdr:col>14</xdr:col>
      <xdr:colOff>104775</xdr:colOff>
      <xdr:row>10</xdr:row>
      <xdr:rowOff>2</xdr:rowOff>
    </xdr:from>
    <xdr:to>
      <xdr:col>14</xdr:col>
      <xdr:colOff>104776</xdr:colOff>
      <xdr:row>12</xdr:row>
      <xdr:rowOff>180975</xdr:rowOff>
    </xdr:to>
    <xdr:cxnSp macro="">
      <xdr:nvCxnSpPr>
        <xdr:cNvPr id="127" name="Conector recto de flecha 126"/>
        <xdr:cNvCxnSpPr/>
      </xdr:nvCxnSpPr>
      <xdr:spPr bwMode="auto">
        <a:xfrm flipV="1">
          <a:off x="11430000" y="2066927"/>
          <a:ext cx="1" cy="600073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triangle"/>
        </a:ln>
        <a:effectLst/>
      </xdr:spPr>
    </xdr:cxnSp>
    <xdr:clientData/>
  </xdr:twoCellAnchor>
  <xdr:twoCellAnchor>
    <xdr:from>
      <xdr:col>14</xdr:col>
      <xdr:colOff>104775</xdr:colOff>
      <xdr:row>13</xdr:row>
      <xdr:rowOff>200025</xdr:rowOff>
    </xdr:from>
    <xdr:to>
      <xdr:col>14</xdr:col>
      <xdr:colOff>104775</xdr:colOff>
      <xdr:row>16</xdr:row>
      <xdr:rowOff>180975</xdr:rowOff>
    </xdr:to>
    <xdr:cxnSp macro="">
      <xdr:nvCxnSpPr>
        <xdr:cNvPr id="128" name="Conector recto de flecha 127"/>
        <xdr:cNvCxnSpPr/>
      </xdr:nvCxnSpPr>
      <xdr:spPr bwMode="auto">
        <a:xfrm>
          <a:off x="11430000" y="2895600"/>
          <a:ext cx="0" cy="609600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triangle"/>
        </a:ln>
        <a:effectLst/>
      </xdr:spPr>
    </xdr:cxnSp>
    <xdr:clientData/>
  </xdr:twoCellAnchor>
  <xdr:twoCellAnchor>
    <xdr:from>
      <xdr:col>13</xdr:col>
      <xdr:colOff>333376</xdr:colOff>
      <xdr:row>10</xdr:row>
      <xdr:rowOff>3</xdr:rowOff>
    </xdr:from>
    <xdr:to>
      <xdr:col>13</xdr:col>
      <xdr:colOff>342900</xdr:colOff>
      <xdr:row>11</xdr:row>
      <xdr:rowOff>0</xdr:rowOff>
    </xdr:to>
    <xdr:cxnSp macro="">
      <xdr:nvCxnSpPr>
        <xdr:cNvPr id="132" name="Conector recto de flecha 131"/>
        <xdr:cNvCxnSpPr/>
      </xdr:nvCxnSpPr>
      <xdr:spPr bwMode="auto">
        <a:xfrm flipH="1" flipV="1">
          <a:off x="10820401" y="2066928"/>
          <a:ext cx="9524" cy="209547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triangle"/>
        </a:ln>
        <a:effectLst/>
      </xdr:spPr>
    </xdr:cxnSp>
    <xdr:clientData/>
  </xdr:twoCellAnchor>
  <xdr:twoCellAnchor>
    <xdr:from>
      <xdr:col>13</xdr:col>
      <xdr:colOff>342900</xdr:colOff>
      <xdr:row>12</xdr:row>
      <xdr:rowOff>0</xdr:rowOff>
    </xdr:from>
    <xdr:to>
      <xdr:col>13</xdr:col>
      <xdr:colOff>342901</xdr:colOff>
      <xdr:row>13</xdr:row>
      <xdr:rowOff>0</xdr:rowOff>
    </xdr:to>
    <xdr:cxnSp macro="">
      <xdr:nvCxnSpPr>
        <xdr:cNvPr id="133" name="Conector recto de flecha 132"/>
        <xdr:cNvCxnSpPr/>
      </xdr:nvCxnSpPr>
      <xdr:spPr bwMode="auto">
        <a:xfrm>
          <a:off x="10829925" y="2486025"/>
          <a:ext cx="1" cy="209550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triangle"/>
        </a:ln>
        <a:effectLst/>
      </xdr:spPr>
    </xdr:cxnSp>
    <xdr:clientData/>
  </xdr:twoCellAnchor>
  <xdr:twoCellAnchor>
    <xdr:from>
      <xdr:col>11</xdr:col>
      <xdr:colOff>600075</xdr:colOff>
      <xdr:row>8</xdr:row>
      <xdr:rowOff>200025</xdr:rowOff>
    </xdr:from>
    <xdr:to>
      <xdr:col>11</xdr:col>
      <xdr:colOff>600076</xdr:colOff>
      <xdr:row>9</xdr:row>
      <xdr:rowOff>161925</xdr:rowOff>
    </xdr:to>
    <xdr:cxnSp macro="">
      <xdr:nvCxnSpPr>
        <xdr:cNvPr id="139" name="Conector recto 138"/>
        <xdr:cNvCxnSpPr/>
      </xdr:nvCxnSpPr>
      <xdr:spPr bwMode="auto">
        <a:xfrm flipH="1" flipV="1">
          <a:off x="9410700" y="1847850"/>
          <a:ext cx="1" cy="171450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13</xdr:col>
      <xdr:colOff>219075</xdr:colOff>
      <xdr:row>9</xdr:row>
      <xdr:rowOff>19050</xdr:rowOff>
    </xdr:from>
    <xdr:to>
      <xdr:col>13</xdr:col>
      <xdr:colOff>219075</xdr:colOff>
      <xdr:row>9</xdr:row>
      <xdr:rowOff>190500</xdr:rowOff>
    </xdr:to>
    <xdr:cxnSp macro="">
      <xdr:nvCxnSpPr>
        <xdr:cNvPr id="140" name="Conector recto 139"/>
        <xdr:cNvCxnSpPr/>
      </xdr:nvCxnSpPr>
      <xdr:spPr bwMode="auto">
        <a:xfrm flipV="1">
          <a:off x="10706100" y="1876425"/>
          <a:ext cx="0" cy="171450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11</xdr:col>
      <xdr:colOff>609601</xdr:colOff>
      <xdr:row>9</xdr:row>
      <xdr:rowOff>104775</xdr:rowOff>
    </xdr:from>
    <xdr:to>
      <xdr:col>12</xdr:col>
      <xdr:colOff>171450</xdr:colOff>
      <xdr:row>9</xdr:row>
      <xdr:rowOff>104779</xdr:rowOff>
    </xdr:to>
    <xdr:cxnSp macro="">
      <xdr:nvCxnSpPr>
        <xdr:cNvPr id="141" name="Conector recto de flecha 140"/>
        <xdr:cNvCxnSpPr/>
      </xdr:nvCxnSpPr>
      <xdr:spPr bwMode="auto">
        <a:xfrm flipH="1">
          <a:off x="9420226" y="1962150"/>
          <a:ext cx="400049" cy="4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triangle"/>
        </a:ln>
        <a:effectLst/>
      </xdr:spPr>
    </xdr:cxnSp>
    <xdr:clientData/>
  </xdr:twoCellAnchor>
  <xdr:twoCellAnchor>
    <xdr:from>
      <xdr:col>12</xdr:col>
      <xdr:colOff>685800</xdr:colOff>
      <xdr:row>9</xdr:row>
      <xdr:rowOff>95250</xdr:rowOff>
    </xdr:from>
    <xdr:to>
      <xdr:col>13</xdr:col>
      <xdr:colOff>209550</xdr:colOff>
      <xdr:row>9</xdr:row>
      <xdr:rowOff>104775</xdr:rowOff>
    </xdr:to>
    <xdr:cxnSp macro="">
      <xdr:nvCxnSpPr>
        <xdr:cNvPr id="142" name="Conector recto de flecha 141"/>
        <xdr:cNvCxnSpPr/>
      </xdr:nvCxnSpPr>
      <xdr:spPr bwMode="auto">
        <a:xfrm flipV="1">
          <a:off x="10334625" y="1952625"/>
          <a:ext cx="361950" cy="9525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triangle"/>
        </a:ln>
        <a:effectLst/>
      </xdr:spPr>
    </xdr:cxnSp>
    <xdr:clientData/>
  </xdr:twoCellAnchor>
  <xdr:twoCellAnchor>
    <xdr:from>
      <xdr:col>13</xdr:col>
      <xdr:colOff>514351</xdr:colOff>
      <xdr:row>13</xdr:row>
      <xdr:rowOff>3</xdr:rowOff>
    </xdr:from>
    <xdr:to>
      <xdr:col>13</xdr:col>
      <xdr:colOff>523875</xdr:colOff>
      <xdr:row>14</xdr:row>
      <xdr:rowOff>1</xdr:rowOff>
    </xdr:to>
    <xdr:cxnSp macro="">
      <xdr:nvCxnSpPr>
        <xdr:cNvPr id="162" name="Conector recto de flecha 161"/>
        <xdr:cNvCxnSpPr/>
      </xdr:nvCxnSpPr>
      <xdr:spPr bwMode="auto">
        <a:xfrm flipH="1" flipV="1">
          <a:off x="11001376" y="2695578"/>
          <a:ext cx="9524" cy="209548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triangle"/>
        </a:ln>
        <a:effectLst/>
      </xdr:spPr>
    </xdr:cxnSp>
    <xdr:clientData/>
  </xdr:twoCellAnchor>
  <xdr:twoCellAnchor>
    <xdr:from>
      <xdr:col>13</xdr:col>
      <xdr:colOff>523875</xdr:colOff>
      <xdr:row>15</xdr:row>
      <xdr:rowOff>0</xdr:rowOff>
    </xdr:from>
    <xdr:to>
      <xdr:col>13</xdr:col>
      <xdr:colOff>523875</xdr:colOff>
      <xdr:row>16</xdr:row>
      <xdr:rowOff>200025</xdr:rowOff>
    </xdr:to>
    <xdr:cxnSp macro="">
      <xdr:nvCxnSpPr>
        <xdr:cNvPr id="163" name="Conector recto de flecha 162"/>
        <xdr:cNvCxnSpPr/>
      </xdr:nvCxnSpPr>
      <xdr:spPr bwMode="auto">
        <a:xfrm>
          <a:off x="11010900" y="3114675"/>
          <a:ext cx="0" cy="409575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triangle"/>
        </a:ln>
        <a:effectLst/>
      </xdr:spPr>
    </xdr:cxnSp>
    <xdr:clientData/>
  </xdr:twoCellAnchor>
  <xdr:twoCellAnchor>
    <xdr:from>
      <xdr:col>11</xdr:col>
      <xdr:colOff>790575</xdr:colOff>
      <xdr:row>3</xdr:row>
      <xdr:rowOff>180975</xdr:rowOff>
    </xdr:from>
    <xdr:to>
      <xdr:col>11</xdr:col>
      <xdr:colOff>800100</xdr:colOff>
      <xdr:row>19</xdr:row>
      <xdr:rowOff>47625</xdr:rowOff>
    </xdr:to>
    <xdr:cxnSp macro="">
      <xdr:nvCxnSpPr>
        <xdr:cNvPr id="15373" name="Conector recto 15372"/>
        <xdr:cNvCxnSpPr/>
      </xdr:nvCxnSpPr>
      <xdr:spPr bwMode="auto">
        <a:xfrm>
          <a:off x="9601200" y="800100"/>
          <a:ext cx="9525" cy="3200400"/>
        </a:xfrm>
        <a:prstGeom prst="line">
          <a:avLst/>
        </a:prstGeom>
        <a:solidFill>
          <a:srgbClr val="FFFFFF"/>
        </a:solidFill>
        <a:ln w="19050" cap="flat" cmpd="sng" algn="ctr">
          <a:solidFill>
            <a:srgbClr val="002060"/>
          </a:solidFill>
          <a:prstDash val="dashDot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17</xdr:col>
      <xdr:colOff>0</xdr:colOff>
      <xdr:row>7</xdr:row>
      <xdr:rowOff>2</xdr:rowOff>
    </xdr:from>
    <xdr:to>
      <xdr:col>17</xdr:col>
      <xdr:colOff>9525</xdr:colOff>
      <xdr:row>10</xdr:row>
      <xdr:rowOff>9525</xdr:rowOff>
    </xdr:to>
    <xdr:cxnSp macro="">
      <xdr:nvCxnSpPr>
        <xdr:cNvPr id="15379" name="Conector recto 15378"/>
        <xdr:cNvCxnSpPr/>
      </xdr:nvCxnSpPr>
      <xdr:spPr bwMode="auto">
        <a:xfrm flipH="1" flipV="1">
          <a:off x="13639800" y="1438277"/>
          <a:ext cx="9525" cy="638173"/>
        </a:xfrm>
        <a:prstGeom prst="line">
          <a:avLst/>
        </a:prstGeom>
        <a:solidFill>
          <a:srgbClr val="FFFFFF"/>
        </a:solidFill>
        <a:ln w="19050" cap="flat" cmpd="sng" algn="ctr">
          <a:solidFill>
            <a:schemeClr val="bg2">
              <a:lumMod val="25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17</xdr:col>
      <xdr:colOff>0</xdr:colOff>
      <xdr:row>12</xdr:row>
      <xdr:rowOff>200028</xdr:rowOff>
    </xdr:from>
    <xdr:to>
      <xdr:col>17</xdr:col>
      <xdr:colOff>9525</xdr:colOff>
      <xdr:row>17</xdr:row>
      <xdr:rowOff>9525</xdr:rowOff>
    </xdr:to>
    <xdr:cxnSp macro="">
      <xdr:nvCxnSpPr>
        <xdr:cNvPr id="177" name="Conector recto 176"/>
        <xdr:cNvCxnSpPr/>
      </xdr:nvCxnSpPr>
      <xdr:spPr bwMode="auto">
        <a:xfrm flipV="1">
          <a:off x="13639800" y="2686053"/>
          <a:ext cx="9525" cy="857247"/>
        </a:xfrm>
        <a:prstGeom prst="line">
          <a:avLst/>
        </a:prstGeom>
        <a:solidFill>
          <a:srgbClr val="FFFFFF"/>
        </a:solidFill>
        <a:ln w="19050" cap="flat" cmpd="sng" algn="ctr">
          <a:solidFill>
            <a:schemeClr val="bg2">
              <a:lumMod val="25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15</xdr:col>
      <xdr:colOff>0</xdr:colOff>
      <xdr:row>6</xdr:row>
      <xdr:rowOff>200029</xdr:rowOff>
    </xdr:from>
    <xdr:to>
      <xdr:col>15</xdr:col>
      <xdr:colOff>9525</xdr:colOff>
      <xdr:row>17</xdr:row>
      <xdr:rowOff>9525</xdr:rowOff>
    </xdr:to>
    <xdr:cxnSp macro="">
      <xdr:nvCxnSpPr>
        <xdr:cNvPr id="180" name="Conector recto 179"/>
        <xdr:cNvCxnSpPr/>
      </xdr:nvCxnSpPr>
      <xdr:spPr bwMode="auto">
        <a:xfrm flipV="1">
          <a:off x="11963400" y="1428754"/>
          <a:ext cx="9525" cy="2114546"/>
        </a:xfrm>
        <a:prstGeom prst="line">
          <a:avLst/>
        </a:prstGeom>
        <a:solidFill>
          <a:srgbClr val="FFFFFF"/>
        </a:solidFill>
        <a:ln w="19050" cap="flat" cmpd="sng" algn="ctr">
          <a:solidFill>
            <a:schemeClr val="bg2">
              <a:lumMod val="25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15</xdr:col>
      <xdr:colOff>0</xdr:colOff>
      <xdr:row>17</xdr:row>
      <xdr:rowOff>0</xdr:rowOff>
    </xdr:from>
    <xdr:to>
      <xdr:col>17</xdr:col>
      <xdr:colOff>9525</xdr:colOff>
      <xdr:row>17</xdr:row>
      <xdr:rowOff>9525</xdr:rowOff>
    </xdr:to>
    <xdr:cxnSp macro="">
      <xdr:nvCxnSpPr>
        <xdr:cNvPr id="182" name="Conector recto 181"/>
        <xdr:cNvCxnSpPr/>
      </xdr:nvCxnSpPr>
      <xdr:spPr bwMode="auto">
        <a:xfrm flipH="1">
          <a:off x="11963400" y="3533775"/>
          <a:ext cx="1685925" cy="9525"/>
        </a:xfrm>
        <a:prstGeom prst="line">
          <a:avLst/>
        </a:prstGeom>
        <a:solidFill>
          <a:srgbClr val="FFFFFF"/>
        </a:solidFill>
        <a:ln w="19050" cap="flat" cmpd="sng" algn="ctr">
          <a:solidFill>
            <a:schemeClr val="bg2">
              <a:lumMod val="25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15</xdr:col>
      <xdr:colOff>9526</xdr:colOff>
      <xdr:row>7</xdr:row>
      <xdr:rowOff>0</xdr:rowOff>
    </xdr:from>
    <xdr:to>
      <xdr:col>17</xdr:col>
      <xdr:colOff>0</xdr:colOff>
      <xdr:row>7</xdr:row>
      <xdr:rowOff>0</xdr:rowOff>
    </xdr:to>
    <xdr:cxnSp macro="">
      <xdr:nvCxnSpPr>
        <xdr:cNvPr id="185" name="Conector recto 184"/>
        <xdr:cNvCxnSpPr/>
      </xdr:nvCxnSpPr>
      <xdr:spPr bwMode="auto">
        <a:xfrm flipH="1">
          <a:off x="11972926" y="1438275"/>
          <a:ext cx="1666874" cy="0"/>
        </a:xfrm>
        <a:prstGeom prst="line">
          <a:avLst/>
        </a:prstGeom>
        <a:solidFill>
          <a:srgbClr val="FFFFFF"/>
        </a:solidFill>
        <a:ln w="19050" cap="flat" cmpd="sng" algn="ctr">
          <a:solidFill>
            <a:schemeClr val="bg2">
              <a:lumMod val="25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15</xdr:col>
      <xdr:colOff>0</xdr:colOff>
      <xdr:row>17</xdr:row>
      <xdr:rowOff>9525</xdr:rowOff>
    </xdr:from>
    <xdr:to>
      <xdr:col>17</xdr:col>
      <xdr:colOff>0</xdr:colOff>
      <xdr:row>18</xdr:row>
      <xdr:rowOff>0</xdr:rowOff>
    </xdr:to>
    <xdr:sp macro="" textlink="">
      <xdr:nvSpPr>
        <xdr:cNvPr id="188" name="Rectángulo redondeado 187"/>
        <xdr:cNvSpPr/>
      </xdr:nvSpPr>
      <xdr:spPr bwMode="auto">
        <a:xfrm>
          <a:off x="11963400" y="3543300"/>
          <a:ext cx="1676400" cy="200025"/>
        </a:xfrm>
        <a:prstGeom prst="roundRect">
          <a:avLst/>
        </a:prstGeom>
        <a:solidFill>
          <a:schemeClr val="bg1">
            <a:lumMod val="65000"/>
          </a:schemeClr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s-PE" sz="1100"/>
        </a:p>
      </xdr:txBody>
    </xdr:sp>
    <xdr:clientData/>
  </xdr:twoCellAnchor>
  <xdr:twoCellAnchor>
    <xdr:from>
      <xdr:col>15</xdr:col>
      <xdr:colOff>9525</xdr:colOff>
      <xdr:row>18</xdr:row>
      <xdr:rowOff>0</xdr:rowOff>
    </xdr:from>
    <xdr:to>
      <xdr:col>17</xdr:col>
      <xdr:colOff>19050</xdr:colOff>
      <xdr:row>18</xdr:row>
      <xdr:rowOff>9525</xdr:rowOff>
    </xdr:to>
    <xdr:cxnSp macro="">
      <xdr:nvCxnSpPr>
        <xdr:cNvPr id="189" name="Conector recto 188"/>
        <xdr:cNvCxnSpPr/>
      </xdr:nvCxnSpPr>
      <xdr:spPr bwMode="auto">
        <a:xfrm flipH="1">
          <a:off x="11972925" y="3743325"/>
          <a:ext cx="1685925" cy="9525"/>
        </a:xfrm>
        <a:prstGeom prst="line">
          <a:avLst/>
        </a:prstGeom>
        <a:solidFill>
          <a:srgbClr val="FFFFFF"/>
        </a:solidFill>
        <a:ln w="19050" cap="flat" cmpd="sng" algn="ctr">
          <a:solidFill>
            <a:schemeClr val="bg2">
              <a:lumMod val="25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15</xdr:col>
      <xdr:colOff>704396</xdr:colOff>
      <xdr:row>6</xdr:row>
      <xdr:rowOff>92074</xdr:rowOff>
    </xdr:from>
    <xdr:to>
      <xdr:col>15</xdr:col>
      <xdr:colOff>809171</xdr:colOff>
      <xdr:row>6</xdr:row>
      <xdr:rowOff>196849</xdr:rowOff>
    </xdr:to>
    <xdr:sp macro="" textlink="">
      <xdr:nvSpPr>
        <xdr:cNvPr id="190" name="Triángulo isósceles 189"/>
        <xdr:cNvSpPr/>
      </xdr:nvSpPr>
      <xdr:spPr bwMode="auto">
        <a:xfrm flipV="1">
          <a:off x="12680496" y="1323974"/>
          <a:ext cx="104775" cy="104775"/>
        </a:xfrm>
        <a:prstGeom prst="triangle">
          <a:avLst/>
        </a:prstGeom>
        <a:noFill/>
        <a:ln w="9525" cap="flat" cmpd="sng" algn="ctr">
          <a:solidFill>
            <a:schemeClr val="bg2">
              <a:lumMod val="25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s-PE" sz="1100"/>
        </a:p>
      </xdr:txBody>
    </xdr:sp>
    <xdr:clientData/>
  </xdr:twoCellAnchor>
  <xdr:twoCellAnchor>
    <xdr:from>
      <xdr:col>15</xdr:col>
      <xdr:colOff>674914</xdr:colOff>
      <xdr:row>7</xdr:row>
      <xdr:rowOff>42182</xdr:rowOff>
    </xdr:from>
    <xdr:to>
      <xdr:col>16</xdr:col>
      <xdr:colOff>13607</xdr:colOff>
      <xdr:row>7</xdr:row>
      <xdr:rowOff>42182</xdr:rowOff>
    </xdr:to>
    <xdr:cxnSp macro="">
      <xdr:nvCxnSpPr>
        <xdr:cNvPr id="191" name="Conector recto 190"/>
        <xdr:cNvCxnSpPr/>
      </xdr:nvCxnSpPr>
      <xdr:spPr bwMode="auto">
        <a:xfrm>
          <a:off x="12651014" y="1483632"/>
          <a:ext cx="176893" cy="0"/>
        </a:xfrm>
        <a:prstGeom prst="line">
          <a:avLst/>
        </a:prstGeom>
        <a:solidFill>
          <a:srgbClr val="FFFFFF"/>
        </a:solidFill>
        <a:ln w="9525" cap="flat" cmpd="sng" algn="ctr">
          <a:solidFill>
            <a:schemeClr val="bg2">
              <a:lumMod val="25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15</xdr:col>
      <xdr:colOff>686707</xdr:colOff>
      <xdr:row>7</xdr:row>
      <xdr:rowOff>63047</xdr:rowOff>
    </xdr:from>
    <xdr:to>
      <xdr:col>15</xdr:col>
      <xdr:colOff>824593</xdr:colOff>
      <xdr:row>7</xdr:row>
      <xdr:rowOff>64860</xdr:rowOff>
    </xdr:to>
    <xdr:cxnSp macro="">
      <xdr:nvCxnSpPr>
        <xdr:cNvPr id="192" name="Conector recto 191"/>
        <xdr:cNvCxnSpPr/>
      </xdr:nvCxnSpPr>
      <xdr:spPr bwMode="auto">
        <a:xfrm>
          <a:off x="12662807" y="1504497"/>
          <a:ext cx="137886" cy="1813"/>
        </a:xfrm>
        <a:prstGeom prst="line">
          <a:avLst/>
        </a:prstGeom>
        <a:solidFill>
          <a:srgbClr val="FFFFFF"/>
        </a:solidFill>
        <a:ln w="9525" cap="flat" cmpd="sng" algn="ctr">
          <a:solidFill>
            <a:schemeClr val="bg2">
              <a:lumMod val="25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15</xdr:col>
      <xdr:colOff>725714</xdr:colOff>
      <xdr:row>7</xdr:row>
      <xdr:rowOff>92075</xdr:rowOff>
    </xdr:from>
    <xdr:to>
      <xdr:col>15</xdr:col>
      <xdr:colOff>806450</xdr:colOff>
      <xdr:row>7</xdr:row>
      <xdr:rowOff>92982</xdr:rowOff>
    </xdr:to>
    <xdr:cxnSp macro="">
      <xdr:nvCxnSpPr>
        <xdr:cNvPr id="193" name="Conector recto 192"/>
        <xdr:cNvCxnSpPr/>
      </xdr:nvCxnSpPr>
      <xdr:spPr bwMode="auto">
        <a:xfrm flipV="1">
          <a:off x="12701814" y="1533525"/>
          <a:ext cx="80736" cy="907"/>
        </a:xfrm>
        <a:prstGeom prst="line">
          <a:avLst/>
        </a:prstGeom>
        <a:solidFill>
          <a:srgbClr val="FFFFFF"/>
        </a:solidFill>
        <a:ln w="9525" cap="flat" cmpd="sng" algn="ctr">
          <a:solidFill>
            <a:schemeClr val="bg2">
              <a:lumMod val="25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17</xdr:col>
      <xdr:colOff>0</xdr:colOff>
      <xdr:row>4</xdr:row>
      <xdr:rowOff>180975</xdr:rowOff>
    </xdr:from>
    <xdr:to>
      <xdr:col>17</xdr:col>
      <xdr:colOff>200025</xdr:colOff>
      <xdr:row>10</xdr:row>
      <xdr:rowOff>0</xdr:rowOff>
    </xdr:to>
    <xdr:sp macro="" textlink="">
      <xdr:nvSpPr>
        <xdr:cNvPr id="15395" name="Rectángulo 15394"/>
        <xdr:cNvSpPr/>
      </xdr:nvSpPr>
      <xdr:spPr bwMode="auto">
        <a:xfrm flipV="1">
          <a:off x="13639800" y="1009650"/>
          <a:ext cx="200025" cy="1057275"/>
        </a:xfrm>
        <a:prstGeom prst="rect">
          <a:avLst/>
        </a:prstGeom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style>
        <a:lnRef idx="0">
          <a:scrgbClr r="0" g="0" b="0"/>
        </a:lnRef>
        <a:fillRef idx="1002">
          <a:schemeClr val="lt2"/>
        </a:fillRef>
        <a:effectRef idx="0">
          <a:scrgbClr r="0" g="0" b="0"/>
        </a:effectRef>
        <a:fontRef idx="major"/>
      </xdr:style>
      <xdr:txBody>
        <a:bodyPr vertOverflow="clip" horzOverflow="clip" vert="vert270" wrap="square" lIns="18288" tIns="0" rIns="0" bIns="0" rtlCol="0" anchor="ctr" upright="1"/>
        <a:lstStyle/>
        <a:p>
          <a:pPr algn="l"/>
          <a:r>
            <a:rPr lang="es-PE" sz="1100"/>
            <a:t>       PARED</a:t>
          </a:r>
        </a:p>
      </xdr:txBody>
    </xdr:sp>
    <xdr:clientData/>
  </xdr:twoCellAnchor>
  <xdr:twoCellAnchor>
    <xdr:from>
      <xdr:col>17</xdr:col>
      <xdr:colOff>0</xdr:colOff>
      <xdr:row>12</xdr:row>
      <xdr:rowOff>209549</xdr:rowOff>
    </xdr:from>
    <xdr:to>
      <xdr:col>17</xdr:col>
      <xdr:colOff>209550</xdr:colOff>
      <xdr:row>18</xdr:row>
      <xdr:rowOff>209549</xdr:rowOff>
    </xdr:to>
    <xdr:sp macro="" textlink="">
      <xdr:nvSpPr>
        <xdr:cNvPr id="195" name="Rectángulo 194"/>
        <xdr:cNvSpPr/>
      </xdr:nvSpPr>
      <xdr:spPr bwMode="auto">
        <a:xfrm flipV="1">
          <a:off x="13639800" y="2695574"/>
          <a:ext cx="209550" cy="1257300"/>
        </a:xfrm>
        <a:prstGeom prst="rect">
          <a:avLst/>
        </a:prstGeom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style>
        <a:lnRef idx="0">
          <a:scrgbClr r="0" g="0" b="0"/>
        </a:lnRef>
        <a:fillRef idx="1003">
          <a:schemeClr val="lt2"/>
        </a:fillRef>
        <a:effectRef idx="0">
          <a:scrgbClr r="0" g="0" b="0"/>
        </a:effectRef>
        <a:fontRef idx="major"/>
      </xdr:style>
      <xdr:txBody>
        <a:bodyPr vertOverflow="clip" horzOverflow="clip" vert="vert270" wrap="square" lIns="18288" tIns="0" rIns="0" bIns="0" rtlCol="0" anchor="t" upright="1"/>
        <a:lstStyle/>
        <a:p>
          <a:pPr algn="l"/>
          <a:r>
            <a:rPr lang="es-PE" sz="1100"/>
            <a:t>             PARED</a:t>
          </a:r>
        </a:p>
      </xdr:txBody>
    </xdr:sp>
    <xdr:clientData/>
  </xdr:twoCellAnchor>
  <xdr:twoCellAnchor>
    <xdr:from>
      <xdr:col>17</xdr:col>
      <xdr:colOff>209549</xdr:colOff>
      <xdr:row>17</xdr:row>
      <xdr:rowOff>200025</xdr:rowOff>
    </xdr:from>
    <xdr:to>
      <xdr:col>19</xdr:col>
      <xdr:colOff>314324</xdr:colOff>
      <xdr:row>19</xdr:row>
      <xdr:rowOff>0</xdr:rowOff>
    </xdr:to>
    <xdr:sp macro="" textlink="">
      <xdr:nvSpPr>
        <xdr:cNvPr id="196" name="Rectángulo redondeado 195"/>
        <xdr:cNvSpPr/>
      </xdr:nvSpPr>
      <xdr:spPr bwMode="auto">
        <a:xfrm>
          <a:off x="13849349" y="3733800"/>
          <a:ext cx="1781175" cy="219075"/>
        </a:xfrm>
        <a:prstGeom prst="roundRect">
          <a:avLst/>
        </a:prstGeom>
        <a:solidFill>
          <a:schemeClr val="bg1">
            <a:lumMod val="65000"/>
          </a:schemeClr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s-PE" sz="1100"/>
        </a:p>
      </xdr:txBody>
    </xdr:sp>
    <xdr:clientData/>
  </xdr:twoCellAnchor>
  <xdr:twoCellAnchor>
    <xdr:from>
      <xdr:col>16</xdr:col>
      <xdr:colOff>381000</xdr:colOff>
      <xdr:row>5</xdr:row>
      <xdr:rowOff>133350</xdr:rowOff>
    </xdr:from>
    <xdr:to>
      <xdr:col>18</xdr:col>
      <xdr:colOff>19050</xdr:colOff>
      <xdr:row>10</xdr:row>
      <xdr:rowOff>0</xdr:rowOff>
    </xdr:to>
    <xdr:sp macro="" textlink="">
      <xdr:nvSpPr>
        <xdr:cNvPr id="15396" name="Arco 15395"/>
        <xdr:cNvSpPr/>
      </xdr:nvSpPr>
      <xdr:spPr bwMode="auto">
        <a:xfrm rot="5400000">
          <a:off x="13382625" y="952500"/>
          <a:ext cx="914400" cy="1314450"/>
        </a:xfrm>
        <a:prstGeom prst="arc">
          <a:avLst/>
        </a:prstGeom>
        <a:noFill/>
        <a:ln w="19050" cap="flat" cmpd="sng" algn="ctr">
          <a:solidFill>
            <a:schemeClr val="bg2">
              <a:lumMod val="25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s-PE" sz="1100"/>
        </a:p>
      </xdr:txBody>
    </xdr:sp>
    <xdr:clientData/>
  </xdr:twoCellAnchor>
  <xdr:twoCellAnchor>
    <xdr:from>
      <xdr:col>18</xdr:col>
      <xdr:colOff>9526</xdr:colOff>
      <xdr:row>7</xdr:row>
      <xdr:rowOff>190500</xdr:rowOff>
    </xdr:from>
    <xdr:to>
      <xdr:col>19</xdr:col>
      <xdr:colOff>219075</xdr:colOff>
      <xdr:row>7</xdr:row>
      <xdr:rowOff>190500</xdr:rowOff>
    </xdr:to>
    <xdr:cxnSp macro="">
      <xdr:nvCxnSpPr>
        <xdr:cNvPr id="199" name="Conector recto 198"/>
        <xdr:cNvCxnSpPr/>
      </xdr:nvCxnSpPr>
      <xdr:spPr bwMode="auto">
        <a:xfrm flipH="1">
          <a:off x="14487526" y="1628775"/>
          <a:ext cx="1047749" cy="0"/>
        </a:xfrm>
        <a:prstGeom prst="line">
          <a:avLst/>
        </a:prstGeom>
        <a:solidFill>
          <a:srgbClr val="FFFFFF"/>
        </a:solidFill>
        <a:ln w="19050" cap="flat" cmpd="sng" algn="ctr">
          <a:solidFill>
            <a:schemeClr val="bg2">
              <a:lumMod val="25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15</xdr:col>
      <xdr:colOff>666750</xdr:colOff>
      <xdr:row>10</xdr:row>
      <xdr:rowOff>9525</xdr:rowOff>
    </xdr:from>
    <xdr:to>
      <xdr:col>15</xdr:col>
      <xdr:colOff>809625</xdr:colOff>
      <xdr:row>10</xdr:row>
      <xdr:rowOff>9525</xdr:rowOff>
    </xdr:to>
    <xdr:cxnSp macro="">
      <xdr:nvCxnSpPr>
        <xdr:cNvPr id="201" name="Conector recto 200"/>
        <xdr:cNvCxnSpPr/>
      </xdr:nvCxnSpPr>
      <xdr:spPr bwMode="auto">
        <a:xfrm>
          <a:off x="12630150" y="2076450"/>
          <a:ext cx="142875" cy="0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15</xdr:col>
      <xdr:colOff>657225</xdr:colOff>
      <xdr:row>17</xdr:row>
      <xdr:rowOff>9525</xdr:rowOff>
    </xdr:from>
    <xdr:to>
      <xdr:col>15</xdr:col>
      <xdr:colOff>800100</xdr:colOff>
      <xdr:row>17</xdr:row>
      <xdr:rowOff>9525</xdr:rowOff>
    </xdr:to>
    <xdr:cxnSp macro="">
      <xdr:nvCxnSpPr>
        <xdr:cNvPr id="202" name="Conector recto 201"/>
        <xdr:cNvCxnSpPr/>
      </xdr:nvCxnSpPr>
      <xdr:spPr bwMode="auto">
        <a:xfrm>
          <a:off x="12620625" y="3543300"/>
          <a:ext cx="142875" cy="0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15</xdr:col>
      <xdr:colOff>742950</xdr:colOff>
      <xdr:row>10</xdr:row>
      <xdr:rowOff>19052</xdr:rowOff>
    </xdr:from>
    <xdr:to>
      <xdr:col>15</xdr:col>
      <xdr:colOff>742951</xdr:colOff>
      <xdr:row>12</xdr:row>
      <xdr:rowOff>200025</xdr:rowOff>
    </xdr:to>
    <xdr:cxnSp macro="">
      <xdr:nvCxnSpPr>
        <xdr:cNvPr id="203" name="Conector recto de flecha 202"/>
        <xdr:cNvCxnSpPr/>
      </xdr:nvCxnSpPr>
      <xdr:spPr bwMode="auto">
        <a:xfrm flipV="1">
          <a:off x="12706350" y="2085977"/>
          <a:ext cx="1" cy="600073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triangle"/>
        </a:ln>
        <a:effectLst/>
      </xdr:spPr>
    </xdr:cxnSp>
    <xdr:clientData/>
  </xdr:twoCellAnchor>
  <xdr:twoCellAnchor>
    <xdr:from>
      <xdr:col>15</xdr:col>
      <xdr:colOff>742950</xdr:colOff>
      <xdr:row>14</xdr:row>
      <xdr:rowOff>9525</xdr:rowOff>
    </xdr:from>
    <xdr:to>
      <xdr:col>15</xdr:col>
      <xdr:colOff>742950</xdr:colOff>
      <xdr:row>16</xdr:row>
      <xdr:rowOff>200025</xdr:rowOff>
    </xdr:to>
    <xdr:cxnSp macro="">
      <xdr:nvCxnSpPr>
        <xdr:cNvPr id="204" name="Conector recto de flecha 203"/>
        <xdr:cNvCxnSpPr/>
      </xdr:nvCxnSpPr>
      <xdr:spPr bwMode="auto">
        <a:xfrm>
          <a:off x="12706350" y="2914650"/>
          <a:ext cx="0" cy="609600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triangle"/>
        </a:ln>
        <a:effectLst/>
      </xdr:spPr>
    </xdr:cxnSp>
    <xdr:clientData/>
  </xdr:twoCellAnchor>
  <xdr:twoCellAnchor>
    <xdr:from>
      <xdr:col>16</xdr:col>
      <xdr:colOff>180975</xdr:colOff>
      <xdr:row>13</xdr:row>
      <xdr:rowOff>9525</xdr:rowOff>
    </xdr:from>
    <xdr:to>
      <xdr:col>16</xdr:col>
      <xdr:colOff>581025</xdr:colOff>
      <xdr:row>13</xdr:row>
      <xdr:rowOff>9525</xdr:rowOff>
    </xdr:to>
    <xdr:cxnSp macro="">
      <xdr:nvCxnSpPr>
        <xdr:cNvPr id="205" name="Conector recto 204"/>
        <xdr:cNvCxnSpPr/>
      </xdr:nvCxnSpPr>
      <xdr:spPr bwMode="auto">
        <a:xfrm>
          <a:off x="12982575" y="2705100"/>
          <a:ext cx="400050" cy="0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16</xdr:col>
      <xdr:colOff>419101</xdr:colOff>
      <xdr:row>13</xdr:row>
      <xdr:rowOff>19053</xdr:rowOff>
    </xdr:from>
    <xdr:to>
      <xdr:col>16</xdr:col>
      <xdr:colOff>428625</xdr:colOff>
      <xdr:row>14</xdr:row>
      <xdr:rowOff>19051</xdr:rowOff>
    </xdr:to>
    <xdr:cxnSp macro="">
      <xdr:nvCxnSpPr>
        <xdr:cNvPr id="206" name="Conector recto de flecha 205"/>
        <xdr:cNvCxnSpPr/>
      </xdr:nvCxnSpPr>
      <xdr:spPr bwMode="auto">
        <a:xfrm flipH="1" flipV="1">
          <a:off x="13220701" y="2714628"/>
          <a:ext cx="9524" cy="209548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triangle"/>
        </a:ln>
        <a:effectLst/>
      </xdr:spPr>
    </xdr:cxnSp>
    <xdr:clientData/>
  </xdr:twoCellAnchor>
  <xdr:twoCellAnchor>
    <xdr:from>
      <xdr:col>16</xdr:col>
      <xdr:colOff>428625</xdr:colOff>
      <xdr:row>15</xdr:row>
      <xdr:rowOff>19050</xdr:rowOff>
    </xdr:from>
    <xdr:to>
      <xdr:col>16</xdr:col>
      <xdr:colOff>428625</xdr:colOff>
      <xdr:row>17</xdr:row>
      <xdr:rowOff>9525</xdr:rowOff>
    </xdr:to>
    <xdr:cxnSp macro="">
      <xdr:nvCxnSpPr>
        <xdr:cNvPr id="207" name="Conector recto de flecha 206"/>
        <xdr:cNvCxnSpPr/>
      </xdr:nvCxnSpPr>
      <xdr:spPr bwMode="auto">
        <a:xfrm>
          <a:off x="13230225" y="3133725"/>
          <a:ext cx="0" cy="409575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triangle"/>
        </a:ln>
        <a:effectLst/>
      </xdr:spPr>
    </xdr:cxnSp>
    <xdr:clientData/>
  </xdr:twoCellAnchor>
  <xdr:twoCellAnchor>
    <xdr:from>
      <xdr:col>19</xdr:col>
      <xdr:colOff>200025</xdr:colOff>
      <xdr:row>7</xdr:row>
      <xdr:rowOff>190500</xdr:rowOff>
    </xdr:from>
    <xdr:to>
      <xdr:col>19</xdr:col>
      <xdr:colOff>342900</xdr:colOff>
      <xdr:row>7</xdr:row>
      <xdr:rowOff>190500</xdr:rowOff>
    </xdr:to>
    <xdr:cxnSp macro="">
      <xdr:nvCxnSpPr>
        <xdr:cNvPr id="208" name="Conector recto 207"/>
        <xdr:cNvCxnSpPr/>
      </xdr:nvCxnSpPr>
      <xdr:spPr bwMode="auto">
        <a:xfrm>
          <a:off x="15516225" y="1628775"/>
          <a:ext cx="142875" cy="0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19</xdr:col>
      <xdr:colOff>171450</xdr:colOff>
      <xdr:row>17</xdr:row>
      <xdr:rowOff>180975</xdr:rowOff>
    </xdr:from>
    <xdr:to>
      <xdr:col>19</xdr:col>
      <xdr:colOff>314325</xdr:colOff>
      <xdr:row>17</xdr:row>
      <xdr:rowOff>180975</xdr:rowOff>
    </xdr:to>
    <xdr:cxnSp macro="">
      <xdr:nvCxnSpPr>
        <xdr:cNvPr id="209" name="Conector recto 208"/>
        <xdr:cNvCxnSpPr/>
      </xdr:nvCxnSpPr>
      <xdr:spPr bwMode="auto">
        <a:xfrm>
          <a:off x="15487650" y="3714750"/>
          <a:ext cx="142875" cy="0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19</xdr:col>
      <xdr:colOff>276225</xdr:colOff>
      <xdr:row>7</xdr:row>
      <xdr:rowOff>200026</xdr:rowOff>
    </xdr:from>
    <xdr:to>
      <xdr:col>19</xdr:col>
      <xdr:colOff>285750</xdr:colOff>
      <xdr:row>11</xdr:row>
      <xdr:rowOff>161925</xdr:rowOff>
    </xdr:to>
    <xdr:cxnSp macro="">
      <xdr:nvCxnSpPr>
        <xdr:cNvPr id="210" name="Conector recto de flecha 209"/>
        <xdr:cNvCxnSpPr/>
      </xdr:nvCxnSpPr>
      <xdr:spPr bwMode="auto">
        <a:xfrm flipH="1" flipV="1">
          <a:off x="15592425" y="1638301"/>
          <a:ext cx="9525" cy="800099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triangle"/>
        </a:ln>
        <a:effectLst/>
      </xdr:spPr>
    </xdr:cxnSp>
    <xdr:clientData/>
  </xdr:twoCellAnchor>
  <xdr:twoCellAnchor>
    <xdr:from>
      <xdr:col>19</xdr:col>
      <xdr:colOff>266700</xdr:colOff>
      <xdr:row>12</xdr:row>
      <xdr:rowOff>190500</xdr:rowOff>
    </xdr:from>
    <xdr:to>
      <xdr:col>19</xdr:col>
      <xdr:colOff>276226</xdr:colOff>
      <xdr:row>17</xdr:row>
      <xdr:rowOff>171452</xdr:rowOff>
    </xdr:to>
    <xdr:cxnSp macro="">
      <xdr:nvCxnSpPr>
        <xdr:cNvPr id="211" name="Conector recto de flecha 210"/>
        <xdr:cNvCxnSpPr/>
      </xdr:nvCxnSpPr>
      <xdr:spPr bwMode="auto">
        <a:xfrm>
          <a:off x="15582900" y="2676525"/>
          <a:ext cx="9526" cy="1028702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triangle"/>
        </a:ln>
        <a:effectLst/>
      </xdr:spPr>
    </xdr:cxnSp>
    <xdr:clientData/>
  </xdr:twoCellAnchor>
  <xdr:twoCellAnchor>
    <xdr:from>
      <xdr:col>18</xdr:col>
      <xdr:colOff>371475</xdr:colOff>
      <xdr:row>7</xdr:row>
      <xdr:rowOff>190500</xdr:rowOff>
    </xdr:from>
    <xdr:to>
      <xdr:col>18</xdr:col>
      <xdr:colOff>381001</xdr:colOff>
      <xdr:row>18</xdr:row>
      <xdr:rowOff>0</xdr:rowOff>
    </xdr:to>
    <xdr:cxnSp macro="">
      <xdr:nvCxnSpPr>
        <xdr:cNvPr id="15399" name="Conector recto de flecha 15398"/>
        <xdr:cNvCxnSpPr/>
      </xdr:nvCxnSpPr>
      <xdr:spPr bwMode="auto">
        <a:xfrm flipH="1">
          <a:off x="14849475" y="1628775"/>
          <a:ext cx="9526" cy="2114550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FF0000"/>
          </a:solidFill>
          <a:prstDash val="solid"/>
          <a:round/>
          <a:headEnd type="triangle"/>
          <a:tailEnd type="triangle"/>
        </a:ln>
        <a:effectLst/>
      </xdr:spPr>
    </xdr:cxnSp>
    <xdr:clientData/>
  </xdr:twoCellAnchor>
  <xdr:twoCellAnchor>
    <xdr:from>
      <xdr:col>18</xdr:col>
      <xdr:colOff>171450</xdr:colOff>
      <xdr:row>13</xdr:row>
      <xdr:rowOff>0</xdr:rowOff>
    </xdr:from>
    <xdr:to>
      <xdr:col>18</xdr:col>
      <xdr:colOff>571500</xdr:colOff>
      <xdr:row>13</xdr:row>
      <xdr:rowOff>0</xdr:rowOff>
    </xdr:to>
    <xdr:cxnSp macro="">
      <xdr:nvCxnSpPr>
        <xdr:cNvPr id="216" name="Conector recto 215"/>
        <xdr:cNvCxnSpPr/>
      </xdr:nvCxnSpPr>
      <xdr:spPr bwMode="auto">
        <a:xfrm>
          <a:off x="14649450" y="2695575"/>
          <a:ext cx="400050" cy="0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18</xdr:col>
      <xdr:colOff>295275</xdr:colOff>
      <xdr:row>12</xdr:row>
      <xdr:rowOff>152400</xdr:rowOff>
    </xdr:from>
    <xdr:to>
      <xdr:col>18</xdr:col>
      <xdr:colOff>438150</xdr:colOff>
      <xdr:row>12</xdr:row>
      <xdr:rowOff>152400</xdr:rowOff>
    </xdr:to>
    <xdr:cxnSp macro="">
      <xdr:nvCxnSpPr>
        <xdr:cNvPr id="217" name="Conector recto 216"/>
        <xdr:cNvCxnSpPr/>
      </xdr:nvCxnSpPr>
      <xdr:spPr bwMode="auto">
        <a:xfrm>
          <a:off x="14773275" y="2638425"/>
          <a:ext cx="142875" cy="0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18</xdr:col>
      <xdr:colOff>295275</xdr:colOff>
      <xdr:row>13</xdr:row>
      <xdr:rowOff>66675</xdr:rowOff>
    </xdr:from>
    <xdr:to>
      <xdr:col>18</xdr:col>
      <xdr:colOff>438150</xdr:colOff>
      <xdr:row>13</xdr:row>
      <xdr:rowOff>66675</xdr:rowOff>
    </xdr:to>
    <xdr:cxnSp macro="">
      <xdr:nvCxnSpPr>
        <xdr:cNvPr id="218" name="Conector recto 217"/>
        <xdr:cNvCxnSpPr/>
      </xdr:nvCxnSpPr>
      <xdr:spPr bwMode="auto">
        <a:xfrm>
          <a:off x="14773275" y="2762250"/>
          <a:ext cx="142875" cy="0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16</xdr:col>
      <xdr:colOff>342900</xdr:colOff>
      <xdr:row>5</xdr:row>
      <xdr:rowOff>104775</xdr:rowOff>
    </xdr:from>
    <xdr:to>
      <xdr:col>16</xdr:col>
      <xdr:colOff>342903</xdr:colOff>
      <xdr:row>6</xdr:row>
      <xdr:rowOff>200025</xdr:rowOff>
    </xdr:to>
    <xdr:cxnSp macro="">
      <xdr:nvCxnSpPr>
        <xdr:cNvPr id="15405" name="Conector recto de flecha 15404"/>
        <xdr:cNvCxnSpPr/>
      </xdr:nvCxnSpPr>
      <xdr:spPr bwMode="auto">
        <a:xfrm>
          <a:off x="13144500" y="1123950"/>
          <a:ext cx="3" cy="304800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2060"/>
          </a:solidFill>
          <a:prstDash val="solid"/>
          <a:round/>
          <a:headEnd type="none" w="med" len="med"/>
          <a:tailEnd type="triangle"/>
        </a:ln>
        <a:effectLst/>
      </xdr:spPr>
    </xdr:cxnSp>
    <xdr:clientData/>
  </xdr:twoCellAnchor>
  <xdr:twoCellAnchor>
    <xdr:from>
      <xdr:col>15</xdr:col>
      <xdr:colOff>542925</xdr:colOff>
      <xdr:row>4</xdr:row>
      <xdr:rowOff>95250</xdr:rowOff>
    </xdr:from>
    <xdr:to>
      <xdr:col>16</xdr:col>
      <xdr:colOff>352425</xdr:colOff>
      <xdr:row>5</xdr:row>
      <xdr:rowOff>114300</xdr:rowOff>
    </xdr:to>
    <xdr:sp macro="" textlink="">
      <xdr:nvSpPr>
        <xdr:cNvPr id="15418" name="Rectángulo 15417"/>
        <xdr:cNvSpPr/>
      </xdr:nvSpPr>
      <xdr:spPr bwMode="auto">
        <a:xfrm>
          <a:off x="12506325" y="923925"/>
          <a:ext cx="647700" cy="209550"/>
        </a:xfrm>
        <a:prstGeom prst="rect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b" upright="1"/>
        <a:lstStyle/>
        <a:p>
          <a:pPr algn="ctr"/>
          <a:r>
            <a:rPr lang="es-PE" sz="1100" b="1">
              <a:latin typeface="Arial Narrow" panose="020B0606020202030204" pitchFamily="34" charset="0"/>
            </a:rPr>
            <a:t>Cota A</a:t>
          </a:r>
        </a:p>
      </xdr:txBody>
    </xdr:sp>
    <xdr:clientData/>
  </xdr:twoCellAnchor>
  <xdr:twoCellAnchor>
    <xdr:from>
      <xdr:col>15</xdr:col>
      <xdr:colOff>638175</xdr:colOff>
      <xdr:row>15</xdr:row>
      <xdr:rowOff>123825</xdr:rowOff>
    </xdr:from>
    <xdr:to>
      <xdr:col>15</xdr:col>
      <xdr:colOff>638178</xdr:colOff>
      <xdr:row>17</xdr:row>
      <xdr:rowOff>9525</xdr:rowOff>
    </xdr:to>
    <xdr:cxnSp macro="">
      <xdr:nvCxnSpPr>
        <xdr:cNvPr id="234" name="Conector recto de flecha 233"/>
        <xdr:cNvCxnSpPr/>
      </xdr:nvCxnSpPr>
      <xdr:spPr bwMode="auto">
        <a:xfrm>
          <a:off x="12601575" y="3238500"/>
          <a:ext cx="3" cy="304800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2060"/>
          </a:solidFill>
          <a:prstDash val="solid"/>
          <a:round/>
          <a:headEnd type="none" w="med" len="med"/>
          <a:tailEnd type="triangle"/>
        </a:ln>
        <a:effectLst/>
      </xdr:spPr>
    </xdr:cxnSp>
    <xdr:clientData/>
  </xdr:twoCellAnchor>
  <xdr:twoCellAnchor>
    <xdr:from>
      <xdr:col>15</xdr:col>
      <xdr:colOff>0</xdr:colOff>
      <xdr:row>14</xdr:row>
      <xdr:rowOff>133350</xdr:rowOff>
    </xdr:from>
    <xdr:to>
      <xdr:col>15</xdr:col>
      <xdr:colOff>647700</xdr:colOff>
      <xdr:row>15</xdr:row>
      <xdr:rowOff>133350</xdr:rowOff>
    </xdr:to>
    <xdr:sp macro="" textlink="">
      <xdr:nvSpPr>
        <xdr:cNvPr id="235" name="Rectángulo 234"/>
        <xdr:cNvSpPr/>
      </xdr:nvSpPr>
      <xdr:spPr bwMode="auto">
        <a:xfrm>
          <a:off x="11963400" y="3038475"/>
          <a:ext cx="647700" cy="209550"/>
        </a:xfrm>
        <a:prstGeom prst="rect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b" upright="1"/>
        <a:lstStyle/>
        <a:p>
          <a:pPr algn="ctr"/>
          <a:r>
            <a:rPr lang="es-PE" sz="1100" b="1">
              <a:latin typeface="Arial Narrow" panose="020B0606020202030204" pitchFamily="34" charset="0"/>
            </a:rPr>
            <a:t>Cota D</a:t>
          </a:r>
        </a:p>
      </xdr:txBody>
    </xdr:sp>
    <xdr:clientData/>
  </xdr:twoCellAnchor>
  <xdr:twoCellAnchor>
    <xdr:from>
      <xdr:col>18</xdr:col>
      <xdr:colOff>9525</xdr:colOff>
      <xdr:row>6</xdr:row>
      <xdr:rowOff>85725</xdr:rowOff>
    </xdr:from>
    <xdr:to>
      <xdr:col>18</xdr:col>
      <xdr:colOff>9528</xdr:colOff>
      <xdr:row>7</xdr:row>
      <xdr:rowOff>180975</xdr:rowOff>
    </xdr:to>
    <xdr:cxnSp macro="">
      <xdr:nvCxnSpPr>
        <xdr:cNvPr id="236" name="Conector recto de flecha 235"/>
        <xdr:cNvCxnSpPr/>
      </xdr:nvCxnSpPr>
      <xdr:spPr bwMode="auto">
        <a:xfrm>
          <a:off x="14487525" y="1314450"/>
          <a:ext cx="3" cy="304800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2060"/>
          </a:solidFill>
          <a:prstDash val="solid"/>
          <a:round/>
          <a:headEnd type="none" w="med" len="med"/>
          <a:tailEnd type="triangle"/>
        </a:ln>
        <a:effectLst/>
      </xdr:spPr>
    </xdr:cxnSp>
    <xdr:clientData/>
  </xdr:twoCellAnchor>
  <xdr:twoCellAnchor>
    <xdr:from>
      <xdr:col>18</xdr:col>
      <xdr:colOff>9525</xdr:colOff>
      <xdr:row>5</xdr:row>
      <xdr:rowOff>95250</xdr:rowOff>
    </xdr:from>
    <xdr:to>
      <xdr:col>18</xdr:col>
      <xdr:colOff>657225</xdr:colOff>
      <xdr:row>6</xdr:row>
      <xdr:rowOff>95250</xdr:rowOff>
    </xdr:to>
    <xdr:sp macro="" textlink="">
      <xdr:nvSpPr>
        <xdr:cNvPr id="237" name="Rectángulo 236"/>
        <xdr:cNvSpPr/>
      </xdr:nvSpPr>
      <xdr:spPr bwMode="auto">
        <a:xfrm>
          <a:off x="14487525" y="1114425"/>
          <a:ext cx="647700" cy="209550"/>
        </a:xfrm>
        <a:prstGeom prst="rect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b" upright="1"/>
        <a:lstStyle/>
        <a:p>
          <a:pPr algn="ctr"/>
          <a:r>
            <a:rPr lang="es-PE" sz="1100" b="1">
              <a:latin typeface="Arial Narrow" panose="020B0606020202030204" pitchFamily="34" charset="0"/>
            </a:rPr>
            <a:t>Cota B</a:t>
          </a:r>
        </a:p>
      </xdr:txBody>
    </xdr:sp>
    <xdr:clientData/>
  </xdr:twoCellAnchor>
  <xdr:twoCellAnchor>
    <xdr:from>
      <xdr:col>17</xdr:col>
      <xdr:colOff>85725</xdr:colOff>
      <xdr:row>11</xdr:row>
      <xdr:rowOff>123825</xdr:rowOff>
    </xdr:from>
    <xdr:to>
      <xdr:col>17</xdr:col>
      <xdr:colOff>85728</xdr:colOff>
      <xdr:row>13</xdr:row>
      <xdr:rowOff>9525</xdr:rowOff>
    </xdr:to>
    <xdr:cxnSp macro="">
      <xdr:nvCxnSpPr>
        <xdr:cNvPr id="238" name="Conector recto de flecha 237"/>
        <xdr:cNvCxnSpPr/>
      </xdr:nvCxnSpPr>
      <xdr:spPr bwMode="auto">
        <a:xfrm>
          <a:off x="13725525" y="2400300"/>
          <a:ext cx="3" cy="304800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2060"/>
          </a:solidFill>
          <a:prstDash val="solid"/>
          <a:round/>
          <a:headEnd type="none" w="med" len="med"/>
          <a:tailEnd type="triangle"/>
        </a:ln>
        <a:effectLst/>
      </xdr:spPr>
    </xdr:cxnSp>
    <xdr:clientData/>
  </xdr:twoCellAnchor>
  <xdr:twoCellAnchor>
    <xdr:from>
      <xdr:col>17</xdr:col>
      <xdr:colOff>85725</xdr:colOff>
      <xdr:row>10</xdr:row>
      <xdr:rowOff>133350</xdr:rowOff>
    </xdr:from>
    <xdr:to>
      <xdr:col>17</xdr:col>
      <xdr:colOff>733425</xdr:colOff>
      <xdr:row>11</xdr:row>
      <xdr:rowOff>133350</xdr:rowOff>
    </xdr:to>
    <xdr:sp macro="" textlink="">
      <xdr:nvSpPr>
        <xdr:cNvPr id="239" name="Rectángulo 238"/>
        <xdr:cNvSpPr/>
      </xdr:nvSpPr>
      <xdr:spPr bwMode="auto">
        <a:xfrm>
          <a:off x="13725525" y="2200275"/>
          <a:ext cx="647700" cy="209550"/>
        </a:xfrm>
        <a:prstGeom prst="rect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b" upright="1"/>
        <a:lstStyle/>
        <a:p>
          <a:pPr algn="ctr"/>
          <a:r>
            <a:rPr lang="es-PE" sz="1100" b="1">
              <a:latin typeface="Arial Narrow" panose="020B0606020202030204" pitchFamily="34" charset="0"/>
            </a:rPr>
            <a:t>Cota C</a:t>
          </a:r>
        </a:p>
      </xdr:txBody>
    </xdr:sp>
    <xdr:clientData/>
  </xdr:twoCellAnchor>
  <xdr:twoCellAnchor>
    <xdr:from>
      <xdr:col>17</xdr:col>
      <xdr:colOff>361950</xdr:colOff>
      <xdr:row>16</xdr:row>
      <xdr:rowOff>104775</xdr:rowOff>
    </xdr:from>
    <xdr:to>
      <xdr:col>17</xdr:col>
      <xdr:colOff>361953</xdr:colOff>
      <xdr:row>17</xdr:row>
      <xdr:rowOff>200025</xdr:rowOff>
    </xdr:to>
    <xdr:cxnSp macro="">
      <xdr:nvCxnSpPr>
        <xdr:cNvPr id="240" name="Conector recto de flecha 239"/>
        <xdr:cNvCxnSpPr/>
      </xdr:nvCxnSpPr>
      <xdr:spPr bwMode="auto">
        <a:xfrm>
          <a:off x="14001750" y="3429000"/>
          <a:ext cx="3" cy="304800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2060"/>
          </a:solidFill>
          <a:prstDash val="solid"/>
          <a:round/>
          <a:headEnd type="none" w="med" len="med"/>
          <a:tailEnd type="triangle"/>
        </a:ln>
        <a:effectLst/>
      </xdr:spPr>
    </xdr:cxnSp>
    <xdr:clientData/>
  </xdr:twoCellAnchor>
  <xdr:twoCellAnchor>
    <xdr:from>
      <xdr:col>17</xdr:col>
      <xdr:colOff>361950</xdr:colOff>
      <xdr:row>15</xdr:row>
      <xdr:rowOff>114300</xdr:rowOff>
    </xdr:from>
    <xdr:to>
      <xdr:col>18</xdr:col>
      <xdr:colOff>171450</xdr:colOff>
      <xdr:row>16</xdr:row>
      <xdr:rowOff>114300</xdr:rowOff>
    </xdr:to>
    <xdr:sp macro="" textlink="">
      <xdr:nvSpPr>
        <xdr:cNvPr id="241" name="Rectángulo 240"/>
        <xdr:cNvSpPr/>
      </xdr:nvSpPr>
      <xdr:spPr bwMode="auto">
        <a:xfrm>
          <a:off x="14001750" y="3228975"/>
          <a:ext cx="647700" cy="209550"/>
        </a:xfrm>
        <a:prstGeom prst="rect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b" upright="1"/>
        <a:lstStyle/>
        <a:p>
          <a:pPr algn="ctr"/>
          <a:r>
            <a:rPr lang="es-PE" sz="1100" b="1">
              <a:latin typeface="Arial Narrow" panose="020B0606020202030204" pitchFamily="34" charset="0"/>
            </a:rPr>
            <a:t>Cota 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228600</xdr:colOff>
      <xdr:row>7</xdr:row>
      <xdr:rowOff>19050</xdr:rowOff>
    </xdr:from>
    <xdr:to>
      <xdr:col>3</xdr:col>
      <xdr:colOff>228600</xdr:colOff>
      <xdr:row>8</xdr:row>
      <xdr:rowOff>152400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ShapeType="1"/>
        </xdr:cNvSpPr>
      </xdr:nvSpPr>
      <xdr:spPr bwMode="auto">
        <a:xfrm>
          <a:off x="1314450" y="1228725"/>
          <a:ext cx="0" cy="295275"/>
        </a:xfrm>
        <a:prstGeom prst="line">
          <a:avLst/>
        </a:prstGeom>
        <a:ln>
          <a:headEnd type="arrow" w="sm" len="sm"/>
          <a:tailEnd type="none" w="sm" len="sm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sp>
    <xdr:clientData/>
  </xdr:twoCellAnchor>
  <xdr:twoCellAnchor>
    <xdr:from>
      <xdr:col>3</xdr:col>
      <xdr:colOff>409575</xdr:colOff>
      <xdr:row>15</xdr:row>
      <xdr:rowOff>0</xdr:rowOff>
    </xdr:from>
    <xdr:to>
      <xdr:col>4</xdr:col>
      <xdr:colOff>28575</xdr:colOff>
      <xdr:row>15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ShapeType="1"/>
        </xdr:cNvSpPr>
      </xdr:nvSpPr>
      <xdr:spPr bwMode="auto">
        <a:xfrm>
          <a:off x="1495425" y="2505075"/>
          <a:ext cx="457200" cy="0"/>
        </a:xfrm>
        <a:prstGeom prst="line">
          <a:avLst/>
        </a:prstGeom>
        <a:ln>
          <a:headEnd type="arrow" w="sm" len="sm"/>
          <a:tailEnd type="none" w="sm" len="sm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sp>
    <xdr:clientData/>
  </xdr:twoCellAnchor>
  <xdr:twoCellAnchor>
    <xdr:from>
      <xdr:col>4</xdr:col>
      <xdr:colOff>581025</xdr:colOff>
      <xdr:row>15</xdr:row>
      <xdr:rowOff>0</xdr:rowOff>
    </xdr:from>
    <xdr:to>
      <xdr:col>5</xdr:col>
      <xdr:colOff>200025</xdr:colOff>
      <xdr:row>15</xdr:row>
      <xdr:rowOff>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 noChangeShapeType="1"/>
        </xdr:cNvSpPr>
      </xdr:nvSpPr>
      <xdr:spPr bwMode="auto">
        <a:xfrm>
          <a:off x="2505075" y="2505075"/>
          <a:ext cx="352425" cy="0"/>
        </a:xfrm>
        <a:prstGeom prst="line">
          <a:avLst/>
        </a:prstGeom>
        <a:ln>
          <a:headEnd type="none" w="sm" len="sm"/>
          <a:tailEnd type="arrow" w="sm" len="sm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sp>
    <xdr:clientData/>
  </xdr:twoCellAnchor>
  <xdr:twoCellAnchor>
    <xdr:from>
      <xdr:col>3</xdr:col>
      <xdr:colOff>428625</xdr:colOff>
      <xdr:row>7</xdr:row>
      <xdr:rowOff>38100</xdr:rowOff>
    </xdr:from>
    <xdr:to>
      <xdr:col>3</xdr:col>
      <xdr:colOff>704850</xdr:colOff>
      <xdr:row>7</xdr:row>
      <xdr:rowOff>38100</xdr:rowOff>
    </xdr:to>
    <xdr:sp macro="" textlink="">
      <xdr:nvSpPr>
        <xdr:cNvPr id="5" name="Lin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 noChangeShapeType="1"/>
        </xdr:cNvSpPr>
      </xdr:nvSpPr>
      <xdr:spPr bwMode="auto">
        <a:xfrm>
          <a:off x="1514475" y="1247775"/>
          <a:ext cx="276225" cy="0"/>
        </a:xfrm>
        <a:prstGeom prst="line">
          <a:avLst/>
        </a:prstGeom>
        <a:ln>
          <a:headEnd type="none" w="sm" len="sm"/>
          <a:tailEnd type="none" w="sm" len="sm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sp>
    <xdr:clientData/>
  </xdr:twoCellAnchor>
  <xdr:twoCellAnchor>
    <xdr:from>
      <xdr:col>3</xdr:col>
      <xdr:colOff>428625</xdr:colOff>
      <xdr:row>7</xdr:row>
      <xdr:rowOff>38100</xdr:rowOff>
    </xdr:from>
    <xdr:to>
      <xdr:col>3</xdr:col>
      <xdr:colOff>428625</xdr:colOff>
      <xdr:row>14</xdr:row>
      <xdr:rowOff>66675</xdr:rowOff>
    </xdr:to>
    <xdr:sp macro="" textlink="">
      <xdr:nvSpPr>
        <xdr:cNvPr id="6" name="Lin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>
          <a:spLocks noChangeShapeType="1"/>
        </xdr:cNvSpPr>
      </xdr:nvSpPr>
      <xdr:spPr bwMode="auto">
        <a:xfrm>
          <a:off x="1514475" y="1247775"/>
          <a:ext cx="0" cy="1162050"/>
        </a:xfrm>
        <a:prstGeom prst="line">
          <a:avLst/>
        </a:prstGeom>
        <a:ln>
          <a:headEnd type="none" w="sm" len="sm"/>
          <a:tailEnd type="none" w="sm" len="sm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sp>
    <xdr:clientData/>
  </xdr:twoCellAnchor>
  <xdr:twoCellAnchor>
    <xdr:from>
      <xdr:col>3</xdr:col>
      <xdr:colOff>428625</xdr:colOff>
      <xdr:row>14</xdr:row>
      <xdr:rowOff>66675</xdr:rowOff>
    </xdr:from>
    <xdr:to>
      <xdr:col>5</xdr:col>
      <xdr:colOff>209550</xdr:colOff>
      <xdr:row>14</xdr:row>
      <xdr:rowOff>66675</xdr:rowOff>
    </xdr:to>
    <xdr:sp macro="" textlink="">
      <xdr:nvSpPr>
        <xdr:cNvPr id="7" name="Line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>
          <a:spLocks noChangeShapeType="1"/>
        </xdr:cNvSpPr>
      </xdr:nvSpPr>
      <xdr:spPr bwMode="auto">
        <a:xfrm>
          <a:off x="1514475" y="2409825"/>
          <a:ext cx="1352550" cy="0"/>
        </a:xfrm>
        <a:prstGeom prst="line">
          <a:avLst/>
        </a:prstGeom>
        <a:ln>
          <a:headEnd type="none" w="sm" len="sm"/>
          <a:tailEnd type="none" w="sm" len="sm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sp>
    <xdr:clientData/>
  </xdr:twoCellAnchor>
  <xdr:twoCellAnchor>
    <xdr:from>
      <xdr:col>5</xdr:col>
      <xdr:colOff>209550</xdr:colOff>
      <xdr:row>12</xdr:row>
      <xdr:rowOff>9525</xdr:rowOff>
    </xdr:from>
    <xdr:to>
      <xdr:col>5</xdr:col>
      <xdr:colOff>209550</xdr:colOff>
      <xdr:row>14</xdr:row>
      <xdr:rowOff>66675</xdr:rowOff>
    </xdr:to>
    <xdr:sp macro="" textlink="">
      <xdr:nvSpPr>
        <xdr:cNvPr id="8" name="Line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>
          <a:spLocks noChangeShapeType="1"/>
        </xdr:cNvSpPr>
      </xdr:nvSpPr>
      <xdr:spPr bwMode="auto">
        <a:xfrm flipV="1">
          <a:off x="2867025" y="2028825"/>
          <a:ext cx="0" cy="381000"/>
        </a:xfrm>
        <a:prstGeom prst="line">
          <a:avLst/>
        </a:prstGeom>
        <a:ln>
          <a:headEnd type="none" w="sm" len="sm"/>
          <a:tailEnd type="none" w="sm" len="sm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sp>
    <xdr:clientData/>
  </xdr:twoCellAnchor>
  <xdr:twoCellAnchor>
    <xdr:from>
      <xdr:col>4</xdr:col>
      <xdr:colOff>781050</xdr:colOff>
      <xdr:row>12</xdr:row>
      <xdr:rowOff>9525</xdr:rowOff>
    </xdr:from>
    <xdr:to>
      <xdr:col>5</xdr:col>
      <xdr:colOff>209550</xdr:colOff>
      <xdr:row>12</xdr:row>
      <xdr:rowOff>9525</xdr:rowOff>
    </xdr:to>
    <xdr:sp macro="" textlink="">
      <xdr:nvSpPr>
        <xdr:cNvPr id="9" name="Line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>
          <a:spLocks noChangeShapeType="1"/>
        </xdr:cNvSpPr>
      </xdr:nvSpPr>
      <xdr:spPr bwMode="auto">
        <a:xfrm flipH="1">
          <a:off x="2657475" y="2028825"/>
          <a:ext cx="209550" cy="0"/>
        </a:xfrm>
        <a:prstGeom prst="line">
          <a:avLst/>
        </a:prstGeom>
        <a:ln>
          <a:headEnd type="none" w="sm" len="sm"/>
          <a:tailEnd type="none" w="sm" len="sm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sp>
    <xdr:clientData/>
  </xdr:twoCellAnchor>
  <xdr:twoCellAnchor>
    <xdr:from>
      <xdr:col>3</xdr:col>
      <xdr:colOff>704850</xdr:colOff>
      <xdr:row>7</xdr:row>
      <xdr:rowOff>38100</xdr:rowOff>
    </xdr:from>
    <xdr:to>
      <xdr:col>4</xdr:col>
      <xdr:colOff>781050</xdr:colOff>
      <xdr:row>12</xdr:row>
      <xdr:rowOff>9525</xdr:rowOff>
    </xdr:to>
    <xdr:sp macro="" textlink="">
      <xdr:nvSpPr>
        <xdr:cNvPr id="10" name="Line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>
          <a:spLocks noChangeShapeType="1"/>
        </xdr:cNvSpPr>
      </xdr:nvSpPr>
      <xdr:spPr bwMode="auto">
        <a:xfrm flipH="1" flipV="1">
          <a:off x="1790700" y="1247775"/>
          <a:ext cx="866775" cy="781050"/>
        </a:xfrm>
        <a:prstGeom prst="line">
          <a:avLst/>
        </a:prstGeom>
        <a:ln>
          <a:headEnd type="none" w="sm" len="sm"/>
          <a:tailEnd type="none" w="sm" len="sm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sp>
    <xdr:clientData/>
  </xdr:twoCellAnchor>
  <xdr:twoCellAnchor>
    <xdr:from>
      <xdr:col>3</xdr:col>
      <xdr:colOff>704850</xdr:colOff>
      <xdr:row>7</xdr:row>
      <xdr:rowOff>38100</xdr:rowOff>
    </xdr:from>
    <xdr:to>
      <xdr:col>3</xdr:col>
      <xdr:colOff>704850</xdr:colOff>
      <xdr:row>12</xdr:row>
      <xdr:rowOff>9525</xdr:rowOff>
    </xdr:to>
    <xdr:sp macro="" textlink="">
      <xdr:nvSpPr>
        <xdr:cNvPr id="11" name="Line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>
          <a:spLocks noChangeShapeType="1"/>
        </xdr:cNvSpPr>
      </xdr:nvSpPr>
      <xdr:spPr bwMode="auto">
        <a:xfrm>
          <a:off x="1790700" y="1247775"/>
          <a:ext cx="0" cy="781050"/>
        </a:xfrm>
        <a:prstGeom prst="line">
          <a:avLst/>
        </a:prstGeom>
        <a:noFill/>
        <a:ln w="6350">
          <a:solidFill>
            <a:srgbClr val="FF0000"/>
          </a:solidFill>
          <a:prstDash val="sysDot"/>
          <a:round/>
          <a:headEnd type="none" w="sm" len="sm"/>
          <a:tailEnd type="none" w="sm" len="sm"/>
        </a:ln>
      </xdr:spPr>
    </xdr:sp>
    <xdr:clientData/>
  </xdr:twoCellAnchor>
  <xdr:twoCellAnchor>
    <xdr:from>
      <xdr:col>3</xdr:col>
      <xdr:colOff>228600</xdr:colOff>
      <xdr:row>13</xdr:row>
      <xdr:rowOff>142875</xdr:rowOff>
    </xdr:from>
    <xdr:to>
      <xdr:col>3</xdr:col>
      <xdr:colOff>228600</xdr:colOff>
      <xdr:row>14</xdr:row>
      <xdr:rowOff>85725</xdr:rowOff>
    </xdr:to>
    <xdr:sp macro="" textlink="">
      <xdr:nvSpPr>
        <xdr:cNvPr id="12" name="Line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>
          <a:spLocks noChangeShapeType="1"/>
        </xdr:cNvSpPr>
      </xdr:nvSpPr>
      <xdr:spPr bwMode="auto">
        <a:xfrm>
          <a:off x="1314450" y="2324100"/>
          <a:ext cx="0" cy="104775"/>
        </a:xfrm>
        <a:prstGeom prst="line">
          <a:avLst/>
        </a:prstGeom>
        <a:ln>
          <a:headEnd type="none" w="sm" len="sm"/>
          <a:tailEnd type="arrow" w="sm" len="sm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sp>
    <xdr:clientData/>
  </xdr:twoCellAnchor>
  <xdr:twoCellAnchor>
    <xdr:from>
      <xdr:col>3</xdr:col>
      <xdr:colOff>228600</xdr:colOff>
      <xdr:row>10</xdr:row>
      <xdr:rowOff>65057</xdr:rowOff>
    </xdr:from>
    <xdr:to>
      <xdr:col>3</xdr:col>
      <xdr:colOff>228600</xdr:colOff>
      <xdr:row>12</xdr:row>
      <xdr:rowOff>36482</xdr:rowOff>
    </xdr:to>
    <xdr:sp macro="" textlink="">
      <xdr:nvSpPr>
        <xdr:cNvPr id="13" name="Line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>
          <a:spLocks noChangeShapeType="1"/>
        </xdr:cNvSpPr>
      </xdr:nvSpPr>
      <xdr:spPr bwMode="auto">
        <a:xfrm>
          <a:off x="2007798" y="1781354"/>
          <a:ext cx="0" cy="294916"/>
        </a:xfrm>
        <a:prstGeom prst="line">
          <a:avLst/>
        </a:prstGeom>
        <a:ln>
          <a:headEnd type="none" w="sm" len="sm"/>
          <a:tailEnd type="arrow" w="sm" len="sm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sp>
    <xdr:clientData/>
  </xdr:twoCellAnchor>
  <xdr:twoCellAnchor>
    <xdr:from>
      <xdr:col>5</xdr:col>
      <xdr:colOff>209550</xdr:colOff>
      <xdr:row>7</xdr:row>
      <xdr:rowOff>38100</xdr:rowOff>
    </xdr:from>
    <xdr:to>
      <xdr:col>5</xdr:col>
      <xdr:colOff>209550</xdr:colOff>
      <xdr:row>12</xdr:row>
      <xdr:rowOff>9525</xdr:rowOff>
    </xdr:to>
    <xdr:sp macro="" textlink="">
      <xdr:nvSpPr>
        <xdr:cNvPr id="14" name="Line 15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>
          <a:spLocks noChangeShapeType="1"/>
        </xdr:cNvSpPr>
      </xdr:nvSpPr>
      <xdr:spPr bwMode="auto">
        <a:xfrm flipV="1">
          <a:off x="2867025" y="1247775"/>
          <a:ext cx="0" cy="781050"/>
        </a:xfrm>
        <a:prstGeom prst="line">
          <a:avLst/>
        </a:prstGeom>
        <a:ln>
          <a:headEnd type="none" w="sm" len="sm"/>
          <a:tailEnd type="triangle" w="sm" len="sm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sp>
    <xdr:clientData/>
  </xdr:twoCellAnchor>
  <xdr:twoCellAnchor>
    <xdr:from>
      <xdr:col>3</xdr:col>
      <xdr:colOff>466725</xdr:colOff>
      <xdr:row>12</xdr:row>
      <xdr:rowOff>0</xdr:rowOff>
    </xdr:from>
    <xdr:to>
      <xdr:col>5</xdr:col>
      <xdr:colOff>247650</xdr:colOff>
      <xdr:row>12</xdr:row>
      <xdr:rowOff>0</xdr:rowOff>
    </xdr:to>
    <xdr:sp macro="" textlink="">
      <xdr:nvSpPr>
        <xdr:cNvPr id="15" name="Line 32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>
          <a:spLocks noChangeShapeType="1"/>
        </xdr:cNvSpPr>
      </xdr:nvSpPr>
      <xdr:spPr bwMode="auto">
        <a:xfrm>
          <a:off x="1552575" y="2019300"/>
          <a:ext cx="1352550" cy="0"/>
        </a:xfrm>
        <a:prstGeom prst="line">
          <a:avLst/>
        </a:prstGeom>
        <a:ln>
          <a:headEnd type="none" w="sm" len="sm"/>
          <a:tailEnd type="none" w="sm" len="sm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sp>
    <xdr:clientData/>
  </xdr:twoCellAnchor>
  <xdr:twoCellAnchor>
    <xdr:from>
      <xdr:col>5</xdr:col>
      <xdr:colOff>182217</xdr:colOff>
      <xdr:row>14</xdr:row>
      <xdr:rowOff>91850</xdr:rowOff>
    </xdr:from>
    <xdr:to>
      <xdr:col>5</xdr:col>
      <xdr:colOff>619125</xdr:colOff>
      <xdr:row>14</xdr:row>
      <xdr:rowOff>95249</xdr:rowOff>
    </xdr:to>
    <xdr:sp macro="" textlink="">
      <xdr:nvSpPr>
        <xdr:cNvPr id="16" name="Line 33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>
          <a:spLocks noChangeShapeType="1"/>
        </xdr:cNvSpPr>
      </xdr:nvSpPr>
      <xdr:spPr bwMode="auto">
        <a:xfrm>
          <a:off x="2839692" y="2435000"/>
          <a:ext cx="436908" cy="3399"/>
        </a:xfrm>
        <a:prstGeom prst="line">
          <a:avLst/>
        </a:prstGeom>
        <a:ln>
          <a:headEnd/>
          <a:tailEnd type="triangle" w="med" len="med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sp>
    <xdr:clientData/>
  </xdr:twoCellAnchor>
  <xdr:twoCellAnchor>
    <xdr:from>
      <xdr:col>3</xdr:col>
      <xdr:colOff>704850</xdr:colOff>
      <xdr:row>6</xdr:row>
      <xdr:rowOff>66675</xdr:rowOff>
    </xdr:from>
    <xdr:to>
      <xdr:col>4</xdr:col>
      <xdr:colOff>323850</xdr:colOff>
      <xdr:row>6</xdr:row>
      <xdr:rowOff>66675</xdr:rowOff>
    </xdr:to>
    <xdr:sp macro="" textlink="">
      <xdr:nvSpPr>
        <xdr:cNvPr id="18" name="Line 2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>
          <a:spLocks noChangeShapeType="1"/>
        </xdr:cNvSpPr>
      </xdr:nvSpPr>
      <xdr:spPr bwMode="auto">
        <a:xfrm>
          <a:off x="1790700" y="1114425"/>
          <a:ext cx="457200" cy="0"/>
        </a:xfrm>
        <a:prstGeom prst="line">
          <a:avLst/>
        </a:prstGeom>
        <a:ln>
          <a:headEnd type="arrow" w="sm" len="sm"/>
          <a:tailEnd type="none" w="sm" len="sm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sp>
    <xdr:clientData/>
  </xdr:twoCellAnchor>
  <xdr:twoCellAnchor>
    <xdr:from>
      <xdr:col>4</xdr:col>
      <xdr:colOff>388454</xdr:colOff>
      <xdr:row>6</xdr:row>
      <xdr:rowOff>58392</xdr:rowOff>
    </xdr:from>
    <xdr:to>
      <xdr:col>5</xdr:col>
      <xdr:colOff>7454</xdr:colOff>
      <xdr:row>6</xdr:row>
      <xdr:rowOff>58392</xdr:rowOff>
    </xdr:to>
    <xdr:sp macro="" textlink="">
      <xdr:nvSpPr>
        <xdr:cNvPr id="19" name="Line 3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>
          <a:spLocks noChangeShapeType="1"/>
        </xdr:cNvSpPr>
      </xdr:nvSpPr>
      <xdr:spPr bwMode="auto">
        <a:xfrm>
          <a:off x="2312504" y="1106142"/>
          <a:ext cx="352425" cy="0"/>
        </a:xfrm>
        <a:prstGeom prst="line">
          <a:avLst/>
        </a:prstGeom>
        <a:ln>
          <a:headEnd type="none" w="sm" len="sm"/>
          <a:tailEnd type="arrow" w="sm" len="sm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sp>
    <xdr:clientData/>
  </xdr:twoCellAnchor>
  <xdr:twoCellAnchor>
    <xdr:from>
      <xdr:col>4</xdr:col>
      <xdr:colOff>295275</xdr:colOff>
      <xdr:row>36</xdr:row>
      <xdr:rowOff>133350</xdr:rowOff>
    </xdr:from>
    <xdr:to>
      <xdr:col>4</xdr:col>
      <xdr:colOff>657225</xdr:colOff>
      <xdr:row>36</xdr:row>
      <xdr:rowOff>133350</xdr:rowOff>
    </xdr:to>
    <xdr:sp macro="" textlink="">
      <xdr:nvSpPr>
        <xdr:cNvPr id="20" name="Line 125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>
          <a:spLocks noChangeShapeType="1"/>
        </xdr:cNvSpPr>
      </xdr:nvSpPr>
      <xdr:spPr bwMode="auto">
        <a:xfrm>
          <a:off x="2219325" y="6076950"/>
          <a:ext cx="36195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 w="sm" len="sm"/>
          <a:tailEnd type="arrow" w="sm" len="sm"/>
        </a:ln>
      </xdr:spPr>
    </xdr:sp>
    <xdr:clientData/>
  </xdr:twoCellAnchor>
  <xdr:twoCellAnchor>
    <xdr:from>
      <xdr:col>3</xdr:col>
      <xdr:colOff>581025</xdr:colOff>
      <xdr:row>36</xdr:row>
      <xdr:rowOff>133350</xdr:rowOff>
    </xdr:from>
    <xdr:to>
      <xdr:col>4</xdr:col>
      <xdr:colOff>19050</xdr:colOff>
      <xdr:row>36</xdr:row>
      <xdr:rowOff>133350</xdr:rowOff>
    </xdr:to>
    <xdr:sp macro="" textlink="">
      <xdr:nvSpPr>
        <xdr:cNvPr id="21" name="Line 126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>
          <a:spLocks noChangeShapeType="1"/>
        </xdr:cNvSpPr>
      </xdr:nvSpPr>
      <xdr:spPr bwMode="auto">
        <a:xfrm flipH="1">
          <a:off x="1666875" y="6076950"/>
          <a:ext cx="2762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 w="sm" len="sm"/>
          <a:tailEnd type="arrow" w="sm" len="sm"/>
        </a:ln>
      </xdr:spPr>
    </xdr:sp>
    <xdr:clientData/>
  </xdr:twoCellAnchor>
  <xdr:twoCellAnchor>
    <xdr:from>
      <xdr:col>4</xdr:col>
      <xdr:colOff>295275</xdr:colOff>
      <xdr:row>37</xdr:row>
      <xdr:rowOff>152400</xdr:rowOff>
    </xdr:from>
    <xdr:to>
      <xdr:col>4</xdr:col>
      <xdr:colOff>657225</xdr:colOff>
      <xdr:row>37</xdr:row>
      <xdr:rowOff>152400</xdr:rowOff>
    </xdr:to>
    <xdr:sp macro="" textlink="">
      <xdr:nvSpPr>
        <xdr:cNvPr id="22" name="Line 127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>
          <a:spLocks noChangeShapeType="1"/>
        </xdr:cNvSpPr>
      </xdr:nvSpPr>
      <xdr:spPr bwMode="auto">
        <a:xfrm>
          <a:off x="2219325" y="6257925"/>
          <a:ext cx="36195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 w="sm" len="sm"/>
          <a:tailEnd type="arrow" w="sm" len="sm"/>
        </a:ln>
      </xdr:spPr>
    </xdr:sp>
    <xdr:clientData/>
  </xdr:twoCellAnchor>
  <xdr:twoCellAnchor>
    <xdr:from>
      <xdr:col>3</xdr:col>
      <xdr:colOff>400050</xdr:colOff>
      <xdr:row>37</xdr:row>
      <xdr:rowOff>152400</xdr:rowOff>
    </xdr:from>
    <xdr:to>
      <xdr:col>3</xdr:col>
      <xdr:colOff>676275</xdr:colOff>
      <xdr:row>37</xdr:row>
      <xdr:rowOff>152400</xdr:rowOff>
    </xdr:to>
    <xdr:sp macro="" textlink="">
      <xdr:nvSpPr>
        <xdr:cNvPr id="23" name="Line 128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>
          <a:spLocks noChangeShapeType="1"/>
        </xdr:cNvSpPr>
      </xdr:nvSpPr>
      <xdr:spPr bwMode="auto">
        <a:xfrm flipH="1">
          <a:off x="1485900" y="6257925"/>
          <a:ext cx="2762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 w="sm" len="sm"/>
          <a:tailEnd type="arrow" w="sm" len="sm"/>
        </a:ln>
      </xdr:spPr>
    </xdr:sp>
    <xdr:clientData/>
  </xdr:twoCellAnchor>
  <xdr:twoCellAnchor>
    <xdr:from>
      <xdr:col>3</xdr:col>
      <xdr:colOff>304800</xdr:colOff>
      <xdr:row>36</xdr:row>
      <xdr:rowOff>142875</xdr:rowOff>
    </xdr:from>
    <xdr:to>
      <xdr:col>3</xdr:col>
      <xdr:colOff>581025</xdr:colOff>
      <xdr:row>36</xdr:row>
      <xdr:rowOff>142875</xdr:rowOff>
    </xdr:to>
    <xdr:sp macro="" textlink="">
      <xdr:nvSpPr>
        <xdr:cNvPr id="24" name="Line 129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>
          <a:spLocks noChangeShapeType="1"/>
        </xdr:cNvSpPr>
      </xdr:nvSpPr>
      <xdr:spPr bwMode="auto">
        <a:xfrm>
          <a:off x="1390650" y="6086475"/>
          <a:ext cx="2762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 w="sm" len="sm"/>
          <a:tailEnd type="arrow" w="sm" len="sm"/>
        </a:ln>
      </xdr:spPr>
    </xdr:sp>
    <xdr:clientData/>
  </xdr:twoCellAnchor>
  <xdr:twoCellAnchor>
    <xdr:from>
      <xdr:col>3</xdr:col>
      <xdr:colOff>123825</xdr:colOff>
      <xdr:row>32</xdr:row>
      <xdr:rowOff>57150</xdr:rowOff>
    </xdr:from>
    <xdr:to>
      <xdr:col>3</xdr:col>
      <xdr:colOff>581025</xdr:colOff>
      <xdr:row>32</xdr:row>
      <xdr:rowOff>57150</xdr:rowOff>
    </xdr:to>
    <xdr:sp macro="" textlink="">
      <xdr:nvSpPr>
        <xdr:cNvPr id="25" name="Line 130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>
          <a:spLocks noChangeShapeType="1"/>
        </xdr:cNvSpPr>
      </xdr:nvSpPr>
      <xdr:spPr bwMode="auto">
        <a:xfrm flipH="1">
          <a:off x="1209675" y="5353050"/>
          <a:ext cx="457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 w="sm" len="sm"/>
          <a:tailEnd type="triangle" w="sm" len="sm"/>
        </a:ln>
      </xdr:spPr>
    </xdr:sp>
    <xdr:clientData/>
  </xdr:twoCellAnchor>
  <xdr:twoCellAnchor>
    <xdr:from>
      <xdr:col>3</xdr:col>
      <xdr:colOff>304800</xdr:colOff>
      <xdr:row>32</xdr:row>
      <xdr:rowOff>57150</xdr:rowOff>
    </xdr:from>
    <xdr:to>
      <xdr:col>3</xdr:col>
      <xdr:colOff>581025</xdr:colOff>
      <xdr:row>36</xdr:row>
      <xdr:rowOff>142875</xdr:rowOff>
    </xdr:to>
    <xdr:sp macro="" textlink="">
      <xdr:nvSpPr>
        <xdr:cNvPr id="26" name="Line 131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>
          <a:spLocks noChangeShapeType="1"/>
        </xdr:cNvSpPr>
      </xdr:nvSpPr>
      <xdr:spPr bwMode="auto">
        <a:xfrm flipH="1">
          <a:off x="1390650" y="5353050"/>
          <a:ext cx="276225" cy="733425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 w="sm" len="sm"/>
          <a:tailEnd type="arrow" w="sm" len="sm"/>
        </a:ln>
      </xdr:spPr>
    </xdr:sp>
    <xdr:clientData/>
  </xdr:twoCellAnchor>
  <xdr:twoCellAnchor>
    <xdr:from>
      <xdr:col>3</xdr:col>
      <xdr:colOff>304800</xdr:colOff>
      <xdr:row>30</xdr:row>
      <xdr:rowOff>95250</xdr:rowOff>
    </xdr:from>
    <xdr:to>
      <xdr:col>3</xdr:col>
      <xdr:colOff>304800</xdr:colOff>
      <xdr:row>35</xdr:row>
      <xdr:rowOff>114300</xdr:rowOff>
    </xdr:to>
    <xdr:sp macro="" textlink="">
      <xdr:nvSpPr>
        <xdr:cNvPr id="27" name="Line 133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>
          <a:spLocks noChangeShapeType="1"/>
        </xdr:cNvSpPr>
      </xdr:nvSpPr>
      <xdr:spPr bwMode="auto">
        <a:xfrm>
          <a:off x="1390650" y="5067300"/>
          <a:ext cx="0" cy="828675"/>
        </a:xfrm>
        <a:prstGeom prst="line">
          <a:avLst/>
        </a:prstGeom>
        <a:noFill/>
        <a:ln w="12700">
          <a:solidFill>
            <a:srgbClr val="C00000"/>
          </a:solidFill>
          <a:round/>
          <a:headEnd type="none" w="sm" len="sm"/>
          <a:tailEnd type="none" w="sm" len="sm"/>
        </a:ln>
      </xdr:spPr>
    </xdr:sp>
    <xdr:clientData/>
  </xdr:twoCellAnchor>
  <xdr:twoCellAnchor>
    <xdr:from>
      <xdr:col>3</xdr:col>
      <xdr:colOff>304800</xdr:colOff>
      <xdr:row>30</xdr:row>
      <xdr:rowOff>104775</xdr:rowOff>
    </xdr:from>
    <xdr:to>
      <xdr:col>3</xdr:col>
      <xdr:colOff>676275</xdr:colOff>
      <xdr:row>30</xdr:row>
      <xdr:rowOff>104775</xdr:rowOff>
    </xdr:to>
    <xdr:sp macro="" textlink="">
      <xdr:nvSpPr>
        <xdr:cNvPr id="28" name="Line 134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>
          <a:spLocks noChangeShapeType="1"/>
        </xdr:cNvSpPr>
      </xdr:nvSpPr>
      <xdr:spPr bwMode="auto">
        <a:xfrm>
          <a:off x="1390650" y="5076825"/>
          <a:ext cx="371475" cy="0"/>
        </a:xfrm>
        <a:prstGeom prst="line">
          <a:avLst/>
        </a:prstGeom>
        <a:noFill/>
        <a:ln w="12700">
          <a:solidFill>
            <a:srgbClr val="C00000"/>
          </a:solidFill>
          <a:round/>
          <a:headEnd type="none" w="sm" len="sm"/>
          <a:tailEnd type="none" w="sm" len="sm"/>
        </a:ln>
      </xdr:spPr>
    </xdr:sp>
    <xdr:clientData/>
  </xdr:twoCellAnchor>
  <xdr:twoCellAnchor>
    <xdr:from>
      <xdr:col>4</xdr:col>
      <xdr:colOff>666750</xdr:colOff>
      <xdr:row>34</xdr:row>
      <xdr:rowOff>9525</xdr:rowOff>
    </xdr:from>
    <xdr:to>
      <xdr:col>4</xdr:col>
      <xdr:colOff>666750</xdr:colOff>
      <xdr:row>35</xdr:row>
      <xdr:rowOff>123825</xdr:rowOff>
    </xdr:to>
    <xdr:sp macro="" textlink="">
      <xdr:nvSpPr>
        <xdr:cNvPr id="29" name="Line 136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>
          <a:spLocks noChangeShapeType="1"/>
        </xdr:cNvSpPr>
      </xdr:nvSpPr>
      <xdr:spPr bwMode="auto">
        <a:xfrm flipV="1">
          <a:off x="2590800" y="5629275"/>
          <a:ext cx="0" cy="276225"/>
        </a:xfrm>
        <a:prstGeom prst="line">
          <a:avLst/>
        </a:prstGeom>
        <a:noFill/>
        <a:ln w="12700">
          <a:solidFill>
            <a:srgbClr val="C00000"/>
          </a:solidFill>
          <a:round/>
          <a:headEnd type="none" w="sm" len="sm"/>
          <a:tailEnd type="none" w="sm" len="sm"/>
        </a:ln>
      </xdr:spPr>
    </xdr:sp>
    <xdr:clientData/>
  </xdr:twoCellAnchor>
  <xdr:twoCellAnchor>
    <xdr:from>
      <xdr:col>3</xdr:col>
      <xdr:colOff>676275</xdr:colOff>
      <xdr:row>30</xdr:row>
      <xdr:rowOff>104775</xdr:rowOff>
    </xdr:from>
    <xdr:to>
      <xdr:col>4</xdr:col>
      <xdr:colOff>476250</xdr:colOff>
      <xdr:row>34</xdr:row>
      <xdr:rowOff>9525</xdr:rowOff>
    </xdr:to>
    <xdr:sp macro="" textlink="">
      <xdr:nvSpPr>
        <xdr:cNvPr id="30" name="Line 137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>
          <a:spLocks noChangeShapeType="1"/>
        </xdr:cNvSpPr>
      </xdr:nvSpPr>
      <xdr:spPr bwMode="auto">
        <a:xfrm>
          <a:off x="1762125" y="5076825"/>
          <a:ext cx="638175" cy="552450"/>
        </a:xfrm>
        <a:prstGeom prst="line">
          <a:avLst/>
        </a:prstGeom>
        <a:noFill/>
        <a:ln w="12700">
          <a:solidFill>
            <a:srgbClr val="C00000"/>
          </a:solidFill>
          <a:round/>
          <a:headEnd type="none" w="sm" len="sm"/>
          <a:tailEnd type="none" w="sm" len="sm"/>
        </a:ln>
      </xdr:spPr>
    </xdr:sp>
    <xdr:clientData/>
  </xdr:twoCellAnchor>
  <xdr:twoCellAnchor>
    <xdr:from>
      <xdr:col>3</xdr:col>
      <xdr:colOff>314325</xdr:colOff>
      <xdr:row>34</xdr:row>
      <xdr:rowOff>9525</xdr:rowOff>
    </xdr:from>
    <xdr:to>
      <xdr:col>4</xdr:col>
      <xdr:colOff>485775</xdr:colOff>
      <xdr:row>34</xdr:row>
      <xdr:rowOff>9525</xdr:rowOff>
    </xdr:to>
    <xdr:sp macro="" textlink="">
      <xdr:nvSpPr>
        <xdr:cNvPr id="31" name="Line 138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>
          <a:spLocks noChangeShapeType="1"/>
        </xdr:cNvSpPr>
      </xdr:nvSpPr>
      <xdr:spPr bwMode="auto">
        <a:xfrm flipH="1">
          <a:off x="1400175" y="5629275"/>
          <a:ext cx="1009650" cy="0"/>
        </a:xfrm>
        <a:prstGeom prst="line">
          <a:avLst/>
        </a:prstGeom>
        <a:noFill/>
        <a:ln w="6350">
          <a:solidFill>
            <a:srgbClr val="C00000"/>
          </a:solidFill>
          <a:prstDash val="sysDot"/>
          <a:round/>
          <a:headEnd type="none" w="sm" len="sm"/>
          <a:tailEnd type="none" w="sm" len="sm"/>
        </a:ln>
      </xdr:spPr>
    </xdr:sp>
    <xdr:clientData/>
  </xdr:twoCellAnchor>
  <xdr:twoCellAnchor>
    <xdr:from>
      <xdr:col>3</xdr:col>
      <xdr:colOff>676275</xdr:colOff>
      <xdr:row>30</xdr:row>
      <xdr:rowOff>114300</xdr:rowOff>
    </xdr:from>
    <xdr:to>
      <xdr:col>3</xdr:col>
      <xdr:colOff>676275</xdr:colOff>
      <xdr:row>34</xdr:row>
      <xdr:rowOff>19050</xdr:rowOff>
    </xdr:to>
    <xdr:sp macro="" textlink="">
      <xdr:nvSpPr>
        <xdr:cNvPr id="32" name="Line 139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>
          <a:spLocks noChangeShapeType="1"/>
        </xdr:cNvSpPr>
      </xdr:nvSpPr>
      <xdr:spPr bwMode="auto">
        <a:xfrm>
          <a:off x="1762125" y="5086350"/>
          <a:ext cx="0" cy="552450"/>
        </a:xfrm>
        <a:prstGeom prst="line">
          <a:avLst/>
        </a:prstGeom>
        <a:noFill/>
        <a:ln w="6350">
          <a:solidFill>
            <a:srgbClr val="C00000"/>
          </a:solidFill>
          <a:prstDash val="sysDot"/>
          <a:round/>
          <a:headEnd type="none" w="sm" len="sm"/>
          <a:tailEnd type="none" w="sm" len="sm"/>
        </a:ln>
      </xdr:spPr>
    </xdr:sp>
    <xdr:clientData/>
  </xdr:twoCellAnchor>
  <xdr:twoCellAnchor>
    <xdr:from>
      <xdr:col>4</xdr:col>
      <xdr:colOff>485775</xdr:colOff>
      <xdr:row>34</xdr:row>
      <xdr:rowOff>9525</xdr:rowOff>
    </xdr:from>
    <xdr:to>
      <xdr:col>4</xdr:col>
      <xdr:colOff>666750</xdr:colOff>
      <xdr:row>34</xdr:row>
      <xdr:rowOff>9525</xdr:rowOff>
    </xdr:to>
    <xdr:sp macro="" textlink="">
      <xdr:nvSpPr>
        <xdr:cNvPr id="33" name="Line 140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>
          <a:spLocks noChangeShapeType="1"/>
        </xdr:cNvSpPr>
      </xdr:nvSpPr>
      <xdr:spPr bwMode="auto">
        <a:xfrm>
          <a:off x="2409825" y="5629275"/>
          <a:ext cx="180975" cy="0"/>
        </a:xfrm>
        <a:prstGeom prst="line">
          <a:avLst/>
        </a:prstGeom>
        <a:noFill/>
        <a:ln w="12700">
          <a:solidFill>
            <a:srgbClr val="C00000"/>
          </a:solidFill>
          <a:round/>
          <a:headEnd type="none" w="sm" len="sm"/>
          <a:tailEnd type="none" w="sm" len="sm"/>
        </a:ln>
      </xdr:spPr>
    </xdr:sp>
    <xdr:clientData/>
  </xdr:twoCellAnchor>
  <xdr:twoCellAnchor>
    <xdr:from>
      <xdr:col>3</xdr:col>
      <xdr:colOff>304800</xdr:colOff>
      <xdr:row>35</xdr:row>
      <xdr:rowOff>133350</xdr:rowOff>
    </xdr:from>
    <xdr:to>
      <xdr:col>4</xdr:col>
      <xdr:colOff>476250</xdr:colOff>
      <xdr:row>35</xdr:row>
      <xdr:rowOff>133350</xdr:rowOff>
    </xdr:to>
    <xdr:sp macro="" textlink="">
      <xdr:nvSpPr>
        <xdr:cNvPr id="34" name="Line 138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SpPr>
          <a:spLocks noChangeShapeType="1"/>
        </xdr:cNvSpPr>
      </xdr:nvSpPr>
      <xdr:spPr bwMode="auto">
        <a:xfrm flipH="1">
          <a:off x="1390650" y="5915025"/>
          <a:ext cx="1009650" cy="0"/>
        </a:xfrm>
        <a:prstGeom prst="line">
          <a:avLst/>
        </a:prstGeom>
        <a:noFill/>
        <a:ln w="6350">
          <a:solidFill>
            <a:srgbClr val="C00000"/>
          </a:solidFill>
          <a:prstDash val="sysDot"/>
          <a:round/>
          <a:headEnd type="none" w="sm" len="sm"/>
          <a:tailEnd type="none" w="sm" len="sm"/>
        </a:ln>
      </xdr:spPr>
    </xdr:sp>
    <xdr:clientData/>
  </xdr:twoCellAnchor>
  <xdr:twoCellAnchor>
    <xdr:from>
      <xdr:col>4</xdr:col>
      <xdr:colOff>485775</xdr:colOff>
      <xdr:row>35</xdr:row>
      <xdr:rowOff>133350</xdr:rowOff>
    </xdr:from>
    <xdr:to>
      <xdr:col>4</xdr:col>
      <xdr:colOff>666750</xdr:colOff>
      <xdr:row>35</xdr:row>
      <xdr:rowOff>133350</xdr:rowOff>
    </xdr:to>
    <xdr:sp macro="" textlink="">
      <xdr:nvSpPr>
        <xdr:cNvPr id="35" name="Line 140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SpPr>
          <a:spLocks noChangeShapeType="1"/>
        </xdr:cNvSpPr>
      </xdr:nvSpPr>
      <xdr:spPr bwMode="auto">
        <a:xfrm>
          <a:off x="2409825" y="5915025"/>
          <a:ext cx="180975" cy="0"/>
        </a:xfrm>
        <a:prstGeom prst="line">
          <a:avLst/>
        </a:prstGeom>
        <a:noFill/>
        <a:ln w="12700">
          <a:solidFill>
            <a:srgbClr val="C00000"/>
          </a:solidFill>
          <a:round/>
          <a:headEnd type="none" w="sm" len="sm"/>
          <a:tailEnd type="none" w="sm" len="sm"/>
        </a:ln>
      </xdr:spPr>
    </xdr:sp>
    <xdr:clientData/>
  </xdr:twoCellAnchor>
  <xdr:twoCellAnchor>
    <xdr:from>
      <xdr:col>3</xdr:col>
      <xdr:colOff>590550</xdr:colOff>
      <xdr:row>32</xdr:row>
      <xdr:rowOff>57150</xdr:rowOff>
    </xdr:from>
    <xdr:to>
      <xdr:col>3</xdr:col>
      <xdr:colOff>590550</xdr:colOff>
      <xdr:row>34</xdr:row>
      <xdr:rowOff>28575</xdr:rowOff>
    </xdr:to>
    <xdr:sp macro="" textlink="">
      <xdr:nvSpPr>
        <xdr:cNvPr id="36" name="Line 12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SpPr>
          <a:spLocks noChangeShapeType="1"/>
        </xdr:cNvSpPr>
      </xdr:nvSpPr>
      <xdr:spPr bwMode="auto">
        <a:xfrm>
          <a:off x="1676400" y="5353050"/>
          <a:ext cx="0" cy="295275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 w="sm" len="sm"/>
          <a:tailEnd type="arrow" w="sm" len="sm"/>
        </a:ln>
      </xdr:spPr>
    </xdr:sp>
    <xdr:clientData/>
  </xdr:twoCellAnchor>
  <xdr:twoCellAnchor>
    <xdr:from>
      <xdr:col>2</xdr:col>
      <xdr:colOff>209550</xdr:colOff>
      <xdr:row>61</xdr:row>
      <xdr:rowOff>0</xdr:rowOff>
    </xdr:from>
    <xdr:to>
      <xdr:col>2</xdr:col>
      <xdr:colOff>485775</xdr:colOff>
      <xdr:row>61</xdr:row>
      <xdr:rowOff>0</xdr:rowOff>
    </xdr:to>
    <xdr:sp macro="" textlink="">
      <xdr:nvSpPr>
        <xdr:cNvPr id="37" name="Line 381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SpPr>
          <a:spLocks noChangeShapeType="1"/>
        </xdr:cNvSpPr>
      </xdr:nvSpPr>
      <xdr:spPr bwMode="auto">
        <a:xfrm>
          <a:off x="457200" y="10334625"/>
          <a:ext cx="276225" cy="0"/>
        </a:xfrm>
        <a:prstGeom prst="line">
          <a:avLst/>
        </a:prstGeom>
        <a:ln>
          <a:headEnd type="none" w="sm" len="sm"/>
          <a:tailEnd type="none" w="sm" len="sm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sp>
    <xdr:clientData/>
  </xdr:twoCellAnchor>
  <xdr:twoCellAnchor>
    <xdr:from>
      <xdr:col>2</xdr:col>
      <xdr:colOff>209550</xdr:colOff>
      <xdr:row>62</xdr:row>
      <xdr:rowOff>104775</xdr:rowOff>
    </xdr:from>
    <xdr:to>
      <xdr:col>2</xdr:col>
      <xdr:colOff>485775</xdr:colOff>
      <xdr:row>62</xdr:row>
      <xdr:rowOff>104775</xdr:rowOff>
    </xdr:to>
    <xdr:sp macro="" textlink="">
      <xdr:nvSpPr>
        <xdr:cNvPr id="38" name="Line 382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SpPr>
          <a:spLocks noChangeShapeType="1"/>
        </xdr:cNvSpPr>
      </xdr:nvSpPr>
      <xdr:spPr bwMode="auto">
        <a:xfrm>
          <a:off x="457200" y="10601325"/>
          <a:ext cx="276225" cy="0"/>
        </a:xfrm>
        <a:prstGeom prst="line">
          <a:avLst/>
        </a:prstGeom>
        <a:ln>
          <a:headEnd type="none" w="sm" len="sm"/>
          <a:tailEnd type="none" w="sm" len="sm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sp>
    <xdr:clientData/>
  </xdr:twoCellAnchor>
  <xdr:twoCellAnchor>
    <xdr:from>
      <xdr:col>2</xdr:col>
      <xdr:colOff>209550</xdr:colOff>
      <xdr:row>67</xdr:row>
      <xdr:rowOff>85725</xdr:rowOff>
    </xdr:from>
    <xdr:to>
      <xdr:col>3</xdr:col>
      <xdr:colOff>381000</xdr:colOff>
      <xdr:row>67</xdr:row>
      <xdr:rowOff>85725</xdr:rowOff>
    </xdr:to>
    <xdr:sp macro="" textlink="">
      <xdr:nvSpPr>
        <xdr:cNvPr id="39" name="Line 383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SpPr>
          <a:spLocks noChangeShapeType="1"/>
        </xdr:cNvSpPr>
      </xdr:nvSpPr>
      <xdr:spPr bwMode="auto">
        <a:xfrm>
          <a:off x="457200" y="11391900"/>
          <a:ext cx="1009650" cy="0"/>
        </a:xfrm>
        <a:prstGeom prst="line">
          <a:avLst/>
        </a:prstGeom>
        <a:ln>
          <a:headEnd type="none" w="sm" len="sm"/>
          <a:tailEnd type="none" w="sm" len="sm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sp>
    <xdr:clientData/>
  </xdr:twoCellAnchor>
  <xdr:twoCellAnchor>
    <xdr:from>
      <xdr:col>2</xdr:col>
      <xdr:colOff>485775</xdr:colOff>
      <xdr:row>62</xdr:row>
      <xdr:rowOff>104775</xdr:rowOff>
    </xdr:from>
    <xdr:to>
      <xdr:col>3</xdr:col>
      <xdr:colOff>381000</xdr:colOff>
      <xdr:row>66</xdr:row>
      <xdr:rowOff>0</xdr:rowOff>
    </xdr:to>
    <xdr:sp macro="" textlink="">
      <xdr:nvSpPr>
        <xdr:cNvPr id="40" name="Line 384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SpPr>
          <a:spLocks noChangeShapeType="1"/>
        </xdr:cNvSpPr>
      </xdr:nvSpPr>
      <xdr:spPr bwMode="auto">
        <a:xfrm>
          <a:off x="733425" y="10601325"/>
          <a:ext cx="733425" cy="542925"/>
        </a:xfrm>
        <a:prstGeom prst="line">
          <a:avLst/>
        </a:prstGeom>
        <a:ln>
          <a:headEnd type="none" w="sm" len="sm"/>
          <a:tailEnd type="none" w="sm" len="sm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sp>
    <xdr:clientData/>
  </xdr:twoCellAnchor>
  <xdr:twoCellAnchor>
    <xdr:from>
      <xdr:col>2</xdr:col>
      <xdr:colOff>485775</xdr:colOff>
      <xdr:row>61</xdr:row>
      <xdr:rowOff>0</xdr:rowOff>
    </xdr:from>
    <xdr:to>
      <xdr:col>3</xdr:col>
      <xdr:colOff>381000</xdr:colOff>
      <xdr:row>64</xdr:row>
      <xdr:rowOff>152400</xdr:rowOff>
    </xdr:to>
    <xdr:sp macro="" textlink="">
      <xdr:nvSpPr>
        <xdr:cNvPr id="41" name="Line 385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SpPr>
          <a:spLocks noChangeShapeType="1"/>
        </xdr:cNvSpPr>
      </xdr:nvSpPr>
      <xdr:spPr bwMode="auto">
        <a:xfrm>
          <a:off x="733425" y="10334625"/>
          <a:ext cx="733425" cy="638175"/>
        </a:xfrm>
        <a:prstGeom prst="line">
          <a:avLst/>
        </a:prstGeom>
        <a:ln>
          <a:headEnd type="none" w="sm" len="sm"/>
          <a:tailEnd type="none" w="sm" len="sm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sp>
    <xdr:clientData/>
  </xdr:twoCellAnchor>
  <xdr:twoCellAnchor>
    <xdr:from>
      <xdr:col>2</xdr:col>
      <xdr:colOff>485775</xdr:colOff>
      <xdr:row>62</xdr:row>
      <xdr:rowOff>104775</xdr:rowOff>
    </xdr:from>
    <xdr:to>
      <xdr:col>2</xdr:col>
      <xdr:colOff>485775</xdr:colOff>
      <xdr:row>66</xdr:row>
      <xdr:rowOff>0</xdr:rowOff>
    </xdr:to>
    <xdr:sp macro="" textlink="">
      <xdr:nvSpPr>
        <xdr:cNvPr id="42" name="Line 387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SpPr>
          <a:spLocks noChangeShapeType="1"/>
        </xdr:cNvSpPr>
      </xdr:nvSpPr>
      <xdr:spPr bwMode="auto">
        <a:xfrm>
          <a:off x="733425" y="10601325"/>
          <a:ext cx="0" cy="542925"/>
        </a:xfrm>
        <a:prstGeom prst="line">
          <a:avLst/>
        </a:prstGeom>
        <a:noFill/>
        <a:ln w="6350">
          <a:solidFill>
            <a:srgbClr val="000000"/>
          </a:solidFill>
          <a:prstDash val="sysDot"/>
          <a:round/>
          <a:headEnd type="none" w="sm" len="sm"/>
          <a:tailEnd type="none" w="sm" len="sm"/>
        </a:ln>
      </xdr:spPr>
    </xdr:sp>
    <xdr:clientData/>
  </xdr:twoCellAnchor>
  <xdr:twoCellAnchor>
    <xdr:from>
      <xdr:col>2</xdr:col>
      <xdr:colOff>209550</xdr:colOff>
      <xdr:row>65</xdr:row>
      <xdr:rowOff>152400</xdr:rowOff>
    </xdr:from>
    <xdr:to>
      <xdr:col>3</xdr:col>
      <xdr:colOff>381000</xdr:colOff>
      <xdr:row>65</xdr:row>
      <xdr:rowOff>152400</xdr:rowOff>
    </xdr:to>
    <xdr:sp macro="" textlink="">
      <xdr:nvSpPr>
        <xdr:cNvPr id="43" name="Line 388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SpPr>
          <a:spLocks noChangeShapeType="1"/>
        </xdr:cNvSpPr>
      </xdr:nvSpPr>
      <xdr:spPr bwMode="auto">
        <a:xfrm flipH="1">
          <a:off x="457200" y="11134725"/>
          <a:ext cx="1009650" cy="0"/>
        </a:xfrm>
        <a:prstGeom prst="line">
          <a:avLst/>
        </a:prstGeom>
        <a:noFill/>
        <a:ln w="6350">
          <a:solidFill>
            <a:srgbClr val="000000"/>
          </a:solidFill>
          <a:prstDash val="sysDot"/>
          <a:round/>
          <a:headEnd type="none" w="sm" len="sm"/>
          <a:tailEnd type="none" w="sm" len="sm"/>
        </a:ln>
      </xdr:spPr>
    </xdr:sp>
    <xdr:clientData/>
  </xdr:twoCellAnchor>
  <xdr:twoCellAnchor>
    <xdr:from>
      <xdr:col>2</xdr:col>
      <xdr:colOff>122583</xdr:colOff>
      <xdr:row>60</xdr:row>
      <xdr:rowOff>94422</xdr:rowOff>
    </xdr:from>
    <xdr:to>
      <xdr:col>2</xdr:col>
      <xdr:colOff>122583</xdr:colOff>
      <xdr:row>61</xdr:row>
      <xdr:rowOff>27747</xdr:rowOff>
    </xdr:to>
    <xdr:sp macro="" textlink="">
      <xdr:nvSpPr>
        <xdr:cNvPr id="44" name="Line 389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SpPr>
          <a:spLocks noChangeShapeType="1"/>
        </xdr:cNvSpPr>
      </xdr:nvSpPr>
      <xdr:spPr bwMode="auto">
        <a:xfrm flipV="1">
          <a:off x="370233" y="10267122"/>
          <a:ext cx="0" cy="9525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 w="sm" len="sm"/>
          <a:tailEnd type="arrow" w="sm" len="sm"/>
        </a:ln>
      </xdr:spPr>
    </xdr:sp>
    <xdr:clientData/>
  </xdr:twoCellAnchor>
  <xdr:twoCellAnchor>
    <xdr:from>
      <xdr:col>2</xdr:col>
      <xdr:colOff>114300</xdr:colOff>
      <xdr:row>62</xdr:row>
      <xdr:rowOff>95250</xdr:rowOff>
    </xdr:from>
    <xdr:to>
      <xdr:col>2</xdr:col>
      <xdr:colOff>114300</xdr:colOff>
      <xdr:row>63</xdr:row>
      <xdr:rowOff>28575</xdr:rowOff>
    </xdr:to>
    <xdr:sp macro="" textlink="">
      <xdr:nvSpPr>
        <xdr:cNvPr id="45" name="Line 392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SpPr>
          <a:spLocks noChangeShapeType="1"/>
        </xdr:cNvSpPr>
      </xdr:nvSpPr>
      <xdr:spPr bwMode="auto">
        <a:xfrm>
          <a:off x="361950" y="10591800"/>
          <a:ext cx="0" cy="9525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 w="sm" len="sm"/>
          <a:tailEnd type="arrow" w="sm" len="sm"/>
        </a:ln>
      </xdr:spPr>
    </xdr:sp>
    <xdr:clientData/>
  </xdr:twoCellAnchor>
  <xdr:twoCellAnchor>
    <xdr:from>
      <xdr:col>2</xdr:col>
      <xdr:colOff>485775</xdr:colOff>
      <xdr:row>60</xdr:row>
      <xdr:rowOff>85725</xdr:rowOff>
    </xdr:from>
    <xdr:to>
      <xdr:col>2</xdr:col>
      <xdr:colOff>666750</xdr:colOff>
      <xdr:row>60</xdr:row>
      <xdr:rowOff>85725</xdr:rowOff>
    </xdr:to>
    <xdr:sp macro="" textlink="">
      <xdr:nvSpPr>
        <xdr:cNvPr id="46" name="Line 395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SpPr>
          <a:spLocks noChangeShapeType="1"/>
        </xdr:cNvSpPr>
      </xdr:nvSpPr>
      <xdr:spPr bwMode="auto">
        <a:xfrm flipH="1">
          <a:off x="733425" y="10258425"/>
          <a:ext cx="1809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 w="sm" len="sm"/>
          <a:tailEnd type="arrow" w="sm" len="sm"/>
        </a:ln>
      </xdr:spPr>
    </xdr:sp>
    <xdr:clientData/>
  </xdr:twoCellAnchor>
  <xdr:twoCellAnchor>
    <xdr:from>
      <xdr:col>3</xdr:col>
      <xdr:colOff>104775</xdr:colOff>
      <xdr:row>60</xdr:row>
      <xdr:rowOff>85725</xdr:rowOff>
    </xdr:from>
    <xdr:to>
      <xdr:col>3</xdr:col>
      <xdr:colOff>381000</xdr:colOff>
      <xdr:row>60</xdr:row>
      <xdr:rowOff>85725</xdr:rowOff>
    </xdr:to>
    <xdr:sp macro="" textlink="">
      <xdr:nvSpPr>
        <xdr:cNvPr id="47" name="Line 396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SpPr>
          <a:spLocks noChangeShapeType="1"/>
        </xdr:cNvSpPr>
      </xdr:nvSpPr>
      <xdr:spPr bwMode="auto">
        <a:xfrm>
          <a:off x="1190625" y="10258425"/>
          <a:ext cx="2762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 w="sm" len="sm"/>
          <a:tailEnd type="arrow" w="sm" len="sm"/>
        </a:ln>
      </xdr:spPr>
    </xdr:sp>
    <xdr:clientData/>
  </xdr:twoCellAnchor>
  <xdr:twoCellAnchor>
    <xdr:from>
      <xdr:col>3</xdr:col>
      <xdr:colOff>381000</xdr:colOff>
      <xdr:row>65</xdr:row>
      <xdr:rowOff>152400</xdr:rowOff>
    </xdr:from>
    <xdr:to>
      <xdr:col>3</xdr:col>
      <xdr:colOff>647700</xdr:colOff>
      <xdr:row>65</xdr:row>
      <xdr:rowOff>152400</xdr:rowOff>
    </xdr:to>
    <xdr:sp macro="" textlink="">
      <xdr:nvSpPr>
        <xdr:cNvPr id="48" name="Line 397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SpPr>
          <a:spLocks noChangeShapeType="1"/>
        </xdr:cNvSpPr>
      </xdr:nvSpPr>
      <xdr:spPr bwMode="auto">
        <a:xfrm>
          <a:off x="1466850" y="11134725"/>
          <a:ext cx="266700" cy="0"/>
        </a:xfrm>
        <a:prstGeom prst="line">
          <a:avLst/>
        </a:prstGeom>
        <a:ln>
          <a:headEnd type="none" w="sm" len="sm"/>
          <a:tailEnd type="none" w="sm" len="sm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sp>
    <xdr:clientData/>
  </xdr:twoCellAnchor>
  <xdr:twoCellAnchor>
    <xdr:from>
      <xdr:col>3</xdr:col>
      <xdr:colOff>381000</xdr:colOff>
      <xdr:row>64</xdr:row>
      <xdr:rowOff>152400</xdr:rowOff>
    </xdr:from>
    <xdr:to>
      <xdr:col>3</xdr:col>
      <xdr:colOff>647700</xdr:colOff>
      <xdr:row>64</xdr:row>
      <xdr:rowOff>152400</xdr:rowOff>
    </xdr:to>
    <xdr:sp macro="" textlink="">
      <xdr:nvSpPr>
        <xdr:cNvPr id="49" name="Line 398">
          <a:extLs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SpPr>
          <a:spLocks noChangeShapeType="1"/>
        </xdr:cNvSpPr>
      </xdr:nvSpPr>
      <xdr:spPr bwMode="auto">
        <a:xfrm>
          <a:off x="1466850" y="10972800"/>
          <a:ext cx="266700" cy="0"/>
        </a:xfrm>
        <a:prstGeom prst="line">
          <a:avLst/>
        </a:prstGeom>
        <a:ln>
          <a:headEnd type="none" w="sm" len="sm"/>
          <a:tailEnd type="none" w="sm" len="sm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sp>
    <xdr:clientData/>
  </xdr:twoCellAnchor>
  <xdr:twoCellAnchor>
    <xdr:from>
      <xdr:col>3</xdr:col>
      <xdr:colOff>647700</xdr:colOff>
      <xdr:row>66</xdr:row>
      <xdr:rowOff>66675</xdr:rowOff>
    </xdr:from>
    <xdr:to>
      <xdr:col>3</xdr:col>
      <xdr:colOff>647700</xdr:colOff>
      <xdr:row>67</xdr:row>
      <xdr:rowOff>85725</xdr:rowOff>
    </xdr:to>
    <xdr:sp macro="" textlink="">
      <xdr:nvSpPr>
        <xdr:cNvPr id="50" name="Line 399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SpPr>
          <a:spLocks noChangeShapeType="1"/>
        </xdr:cNvSpPr>
      </xdr:nvSpPr>
      <xdr:spPr bwMode="auto">
        <a:xfrm>
          <a:off x="1733550" y="11210925"/>
          <a:ext cx="0" cy="180975"/>
        </a:xfrm>
        <a:prstGeom prst="line">
          <a:avLst/>
        </a:prstGeom>
        <a:ln>
          <a:headEnd type="none" w="sm" len="sm"/>
          <a:tailEnd type="none" w="sm" len="sm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sp>
    <xdr:clientData/>
  </xdr:twoCellAnchor>
  <xdr:twoCellAnchor>
    <xdr:from>
      <xdr:col>2</xdr:col>
      <xdr:colOff>209550</xdr:colOff>
      <xdr:row>60</xdr:row>
      <xdr:rowOff>38100</xdr:rowOff>
    </xdr:from>
    <xdr:to>
      <xdr:col>2</xdr:col>
      <xdr:colOff>209550</xdr:colOff>
      <xdr:row>67</xdr:row>
      <xdr:rowOff>95250</xdr:rowOff>
    </xdr:to>
    <xdr:sp macro="" textlink="">
      <xdr:nvSpPr>
        <xdr:cNvPr id="51" name="Line 402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SpPr>
          <a:spLocks noChangeShapeType="1"/>
        </xdr:cNvSpPr>
      </xdr:nvSpPr>
      <xdr:spPr bwMode="auto">
        <a:xfrm>
          <a:off x="457200" y="10210800"/>
          <a:ext cx="0" cy="1190625"/>
        </a:xfrm>
        <a:prstGeom prst="line">
          <a:avLst/>
        </a:prstGeom>
        <a:ln>
          <a:headEnd type="none" w="sm" len="sm"/>
          <a:tailEnd type="none" w="sm" len="sm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sp>
    <xdr:clientData/>
  </xdr:twoCellAnchor>
  <xdr:twoCellAnchor>
    <xdr:from>
      <xdr:col>2</xdr:col>
      <xdr:colOff>476250</xdr:colOff>
      <xdr:row>60</xdr:row>
      <xdr:rowOff>142875</xdr:rowOff>
    </xdr:from>
    <xdr:to>
      <xdr:col>2</xdr:col>
      <xdr:colOff>476250</xdr:colOff>
      <xdr:row>62</xdr:row>
      <xdr:rowOff>180975</xdr:rowOff>
    </xdr:to>
    <xdr:sp macro="" textlink="">
      <xdr:nvSpPr>
        <xdr:cNvPr id="52" name="Line 406">
          <a:extLst>
            <a:ext uri="{FF2B5EF4-FFF2-40B4-BE49-F238E27FC236}">
              <a16:creationId xmlns:a16="http://schemas.microsoft.com/office/drawing/2014/main" id="{00000000-0008-0000-0100-000034000000}"/>
            </a:ext>
          </a:extLst>
        </xdr:cNvPr>
        <xdr:cNvSpPr>
          <a:spLocks noChangeShapeType="1"/>
        </xdr:cNvSpPr>
      </xdr:nvSpPr>
      <xdr:spPr bwMode="auto">
        <a:xfrm>
          <a:off x="723900" y="10315575"/>
          <a:ext cx="0" cy="342900"/>
        </a:xfrm>
        <a:prstGeom prst="line">
          <a:avLst/>
        </a:prstGeom>
        <a:noFill/>
        <a:ln w="6350">
          <a:solidFill>
            <a:srgbClr val="000000"/>
          </a:solidFill>
          <a:prstDash val="sysDot"/>
          <a:round/>
          <a:headEnd type="none" w="sm" len="sm"/>
          <a:tailEnd type="none" w="sm" len="sm"/>
        </a:ln>
      </xdr:spPr>
    </xdr:sp>
    <xdr:clientData/>
  </xdr:twoCellAnchor>
  <xdr:twoCellAnchor>
    <xdr:from>
      <xdr:col>3</xdr:col>
      <xdr:colOff>381000</xdr:colOff>
      <xdr:row>64</xdr:row>
      <xdr:rowOff>152400</xdr:rowOff>
    </xdr:from>
    <xdr:to>
      <xdr:col>3</xdr:col>
      <xdr:colOff>381000</xdr:colOff>
      <xdr:row>66</xdr:row>
      <xdr:rowOff>0</xdr:rowOff>
    </xdr:to>
    <xdr:sp macro="" textlink="">
      <xdr:nvSpPr>
        <xdr:cNvPr id="53" name="Line 407">
          <a:extLst>
            <a:ext uri="{FF2B5EF4-FFF2-40B4-BE49-F238E27FC236}">
              <a16:creationId xmlns:a16="http://schemas.microsoft.com/office/drawing/2014/main" id="{00000000-0008-0000-0100-000035000000}"/>
            </a:ext>
          </a:extLst>
        </xdr:cNvPr>
        <xdr:cNvSpPr>
          <a:spLocks noChangeShapeType="1"/>
        </xdr:cNvSpPr>
      </xdr:nvSpPr>
      <xdr:spPr bwMode="auto">
        <a:xfrm flipV="1">
          <a:off x="1466850" y="10972800"/>
          <a:ext cx="0" cy="171450"/>
        </a:xfrm>
        <a:prstGeom prst="line">
          <a:avLst/>
        </a:prstGeom>
        <a:ln>
          <a:headEnd type="none" w="sm" len="sm"/>
          <a:tailEnd type="none" w="sm" len="sm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sp>
    <xdr:clientData/>
  </xdr:twoCellAnchor>
  <xdr:twoCellAnchor>
    <xdr:from>
      <xdr:col>3</xdr:col>
      <xdr:colOff>714375</xdr:colOff>
      <xdr:row>64</xdr:row>
      <xdr:rowOff>38100</xdr:rowOff>
    </xdr:from>
    <xdr:to>
      <xdr:col>3</xdr:col>
      <xdr:colOff>714375</xdr:colOff>
      <xdr:row>64</xdr:row>
      <xdr:rowOff>133350</xdr:rowOff>
    </xdr:to>
    <xdr:sp macro="" textlink="">
      <xdr:nvSpPr>
        <xdr:cNvPr id="54" name="Line 389">
          <a:extLs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SpPr>
          <a:spLocks noChangeShapeType="1"/>
        </xdr:cNvSpPr>
      </xdr:nvSpPr>
      <xdr:spPr bwMode="auto">
        <a:xfrm flipV="1">
          <a:off x="1800225" y="10858500"/>
          <a:ext cx="0" cy="9525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 w="sm" len="sm"/>
          <a:tailEnd type="arrow" w="sm" len="sm"/>
        </a:ln>
      </xdr:spPr>
    </xdr:sp>
    <xdr:clientData/>
  </xdr:twoCellAnchor>
  <xdr:twoCellAnchor>
    <xdr:from>
      <xdr:col>3</xdr:col>
      <xdr:colOff>714375</xdr:colOff>
      <xdr:row>65</xdr:row>
      <xdr:rowOff>142875</xdr:rowOff>
    </xdr:from>
    <xdr:to>
      <xdr:col>3</xdr:col>
      <xdr:colOff>714375</xdr:colOff>
      <xdr:row>66</xdr:row>
      <xdr:rowOff>76200</xdr:rowOff>
    </xdr:to>
    <xdr:sp macro="" textlink="">
      <xdr:nvSpPr>
        <xdr:cNvPr id="55" name="Line 392">
          <a:extLst>
            <a:ext uri="{FF2B5EF4-FFF2-40B4-BE49-F238E27FC236}">
              <a16:creationId xmlns:a16="http://schemas.microsoft.com/office/drawing/2014/main" id="{00000000-0008-0000-0100-000037000000}"/>
            </a:ext>
          </a:extLst>
        </xdr:cNvPr>
        <xdr:cNvSpPr>
          <a:spLocks noChangeShapeType="1"/>
        </xdr:cNvSpPr>
      </xdr:nvSpPr>
      <xdr:spPr bwMode="auto">
        <a:xfrm>
          <a:off x="1800225" y="11125200"/>
          <a:ext cx="0" cy="9525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 w="sm" len="sm"/>
          <a:tailEnd type="arrow" w="sm" len="sm"/>
        </a:ln>
      </xdr:spPr>
    </xdr:sp>
    <xdr:clientData/>
  </xdr:twoCellAnchor>
  <xdr:twoCellAnchor>
    <xdr:from>
      <xdr:col>2</xdr:col>
      <xdr:colOff>352425</xdr:colOff>
      <xdr:row>84</xdr:row>
      <xdr:rowOff>28575</xdr:rowOff>
    </xdr:from>
    <xdr:to>
      <xdr:col>3</xdr:col>
      <xdr:colOff>609600</xdr:colOff>
      <xdr:row>84</xdr:row>
      <xdr:rowOff>28575</xdr:rowOff>
    </xdr:to>
    <xdr:sp macro="" textlink="">
      <xdr:nvSpPr>
        <xdr:cNvPr id="56" name="Line 545">
          <a:extLst>
            <a:ext uri="{FF2B5EF4-FFF2-40B4-BE49-F238E27FC236}">
              <a16:creationId xmlns:a16="http://schemas.microsoft.com/office/drawing/2014/main" id="{00000000-0008-0000-0100-000038000000}"/>
            </a:ext>
          </a:extLst>
        </xdr:cNvPr>
        <xdr:cNvSpPr>
          <a:spLocks noChangeShapeType="1"/>
        </xdr:cNvSpPr>
      </xdr:nvSpPr>
      <xdr:spPr bwMode="auto">
        <a:xfrm flipH="1">
          <a:off x="600075" y="14087475"/>
          <a:ext cx="1095375" cy="0"/>
        </a:xfrm>
        <a:prstGeom prst="line">
          <a:avLst/>
        </a:prstGeom>
        <a:noFill/>
        <a:ln w="6350">
          <a:solidFill>
            <a:srgbClr val="C00000"/>
          </a:solidFill>
          <a:prstDash val="sysDot"/>
          <a:round/>
          <a:headEnd type="none" w="sm" len="sm"/>
          <a:tailEnd type="none" w="sm" len="sm"/>
        </a:ln>
      </xdr:spPr>
    </xdr:sp>
    <xdr:clientData/>
  </xdr:twoCellAnchor>
  <xdr:twoCellAnchor>
    <xdr:from>
      <xdr:col>3</xdr:col>
      <xdr:colOff>152400</xdr:colOff>
      <xdr:row>82</xdr:row>
      <xdr:rowOff>19050</xdr:rowOff>
    </xdr:from>
    <xdr:to>
      <xdr:col>3</xdr:col>
      <xdr:colOff>609600</xdr:colOff>
      <xdr:row>82</xdr:row>
      <xdr:rowOff>19050</xdr:rowOff>
    </xdr:to>
    <xdr:sp macro="" textlink="">
      <xdr:nvSpPr>
        <xdr:cNvPr id="57" name="Line 546">
          <a:extLst>
            <a:ext uri="{FF2B5EF4-FFF2-40B4-BE49-F238E27FC236}">
              <a16:creationId xmlns:a16="http://schemas.microsoft.com/office/drawing/2014/main" id="{00000000-0008-0000-0100-000039000000}"/>
            </a:ext>
          </a:extLst>
        </xdr:cNvPr>
        <xdr:cNvSpPr>
          <a:spLocks noChangeShapeType="1"/>
        </xdr:cNvSpPr>
      </xdr:nvSpPr>
      <xdr:spPr bwMode="auto">
        <a:xfrm>
          <a:off x="1238250" y="13754100"/>
          <a:ext cx="4572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 w="sm" len="sm"/>
          <a:tailEnd type="arrow" w="sm" len="sm"/>
        </a:ln>
      </xdr:spPr>
    </xdr:sp>
    <xdr:clientData/>
  </xdr:twoCellAnchor>
  <xdr:twoCellAnchor>
    <xdr:from>
      <xdr:col>2</xdr:col>
      <xdr:colOff>352425</xdr:colOff>
      <xdr:row>82</xdr:row>
      <xdr:rowOff>19050</xdr:rowOff>
    </xdr:from>
    <xdr:to>
      <xdr:col>2</xdr:col>
      <xdr:colOff>714375</xdr:colOff>
      <xdr:row>82</xdr:row>
      <xdr:rowOff>19050</xdr:rowOff>
    </xdr:to>
    <xdr:sp macro="" textlink="">
      <xdr:nvSpPr>
        <xdr:cNvPr id="58" name="Line 547">
          <a:extLst>
            <a:ext uri="{FF2B5EF4-FFF2-40B4-BE49-F238E27FC236}">
              <a16:creationId xmlns:a16="http://schemas.microsoft.com/office/drawing/2014/main" id="{00000000-0008-0000-0100-00003A000000}"/>
            </a:ext>
          </a:extLst>
        </xdr:cNvPr>
        <xdr:cNvSpPr>
          <a:spLocks noChangeShapeType="1"/>
        </xdr:cNvSpPr>
      </xdr:nvSpPr>
      <xdr:spPr bwMode="auto">
        <a:xfrm flipH="1">
          <a:off x="600075" y="13754100"/>
          <a:ext cx="36195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 w="sm" len="sm"/>
          <a:tailEnd type="arrow" w="sm" len="sm"/>
        </a:ln>
      </xdr:spPr>
    </xdr:sp>
    <xdr:clientData/>
  </xdr:twoCellAnchor>
  <xdr:twoCellAnchor>
    <xdr:from>
      <xdr:col>2</xdr:col>
      <xdr:colOff>257175</xdr:colOff>
      <xdr:row>82</xdr:row>
      <xdr:rowOff>85725</xdr:rowOff>
    </xdr:from>
    <xdr:to>
      <xdr:col>2</xdr:col>
      <xdr:colOff>257175</xdr:colOff>
      <xdr:row>83</xdr:row>
      <xdr:rowOff>114300</xdr:rowOff>
    </xdr:to>
    <xdr:sp macro="" textlink="">
      <xdr:nvSpPr>
        <xdr:cNvPr id="59" name="Line 548">
          <a:extLst>
            <a:ext uri="{FF2B5EF4-FFF2-40B4-BE49-F238E27FC236}">
              <a16:creationId xmlns:a16="http://schemas.microsoft.com/office/drawing/2014/main" id="{00000000-0008-0000-0100-00003B000000}"/>
            </a:ext>
          </a:extLst>
        </xdr:cNvPr>
        <xdr:cNvSpPr>
          <a:spLocks noChangeShapeType="1"/>
        </xdr:cNvSpPr>
      </xdr:nvSpPr>
      <xdr:spPr bwMode="auto">
        <a:xfrm flipV="1">
          <a:off x="504825" y="13820775"/>
          <a:ext cx="0" cy="19050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 w="sm" len="sm"/>
          <a:tailEnd type="arrow" w="sm" len="sm"/>
        </a:ln>
      </xdr:spPr>
    </xdr:sp>
    <xdr:clientData/>
  </xdr:twoCellAnchor>
  <xdr:twoCellAnchor>
    <xdr:from>
      <xdr:col>2</xdr:col>
      <xdr:colOff>257175</xdr:colOff>
      <xdr:row>85</xdr:row>
      <xdr:rowOff>76200</xdr:rowOff>
    </xdr:from>
    <xdr:to>
      <xdr:col>2</xdr:col>
      <xdr:colOff>257175</xdr:colOff>
      <xdr:row>86</xdr:row>
      <xdr:rowOff>95250</xdr:rowOff>
    </xdr:to>
    <xdr:sp macro="" textlink="">
      <xdr:nvSpPr>
        <xdr:cNvPr id="60" name="Line 549">
          <a:extLst>
            <a:ext uri="{FF2B5EF4-FFF2-40B4-BE49-F238E27FC236}">
              <a16:creationId xmlns:a16="http://schemas.microsoft.com/office/drawing/2014/main" id="{00000000-0008-0000-0100-00003C000000}"/>
            </a:ext>
          </a:extLst>
        </xdr:cNvPr>
        <xdr:cNvSpPr>
          <a:spLocks noChangeShapeType="1"/>
        </xdr:cNvSpPr>
      </xdr:nvSpPr>
      <xdr:spPr bwMode="auto">
        <a:xfrm>
          <a:off x="504825" y="14297025"/>
          <a:ext cx="0" cy="180975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 w="sm" len="sm"/>
          <a:tailEnd type="arrow" w="sm" len="sm"/>
        </a:ln>
      </xdr:spPr>
    </xdr:sp>
    <xdr:clientData/>
  </xdr:twoCellAnchor>
  <xdr:twoCellAnchor>
    <xdr:from>
      <xdr:col>2</xdr:col>
      <xdr:colOff>352425</xdr:colOff>
      <xdr:row>82</xdr:row>
      <xdr:rowOff>85725</xdr:rowOff>
    </xdr:from>
    <xdr:to>
      <xdr:col>2</xdr:col>
      <xdr:colOff>352425</xdr:colOff>
      <xdr:row>86</xdr:row>
      <xdr:rowOff>85725</xdr:rowOff>
    </xdr:to>
    <xdr:sp macro="" textlink="">
      <xdr:nvSpPr>
        <xdr:cNvPr id="61" name="Line 552">
          <a:extLst>
            <a:ext uri="{FF2B5EF4-FFF2-40B4-BE49-F238E27FC236}">
              <a16:creationId xmlns:a16="http://schemas.microsoft.com/office/drawing/2014/main" id="{00000000-0008-0000-0100-00003D000000}"/>
            </a:ext>
          </a:extLst>
        </xdr:cNvPr>
        <xdr:cNvSpPr>
          <a:spLocks noChangeShapeType="1"/>
        </xdr:cNvSpPr>
      </xdr:nvSpPr>
      <xdr:spPr bwMode="auto">
        <a:xfrm>
          <a:off x="600075" y="13820775"/>
          <a:ext cx="0" cy="647700"/>
        </a:xfrm>
        <a:prstGeom prst="line">
          <a:avLst/>
        </a:prstGeom>
        <a:noFill/>
        <a:ln w="12700">
          <a:solidFill>
            <a:srgbClr val="C00000"/>
          </a:solidFill>
          <a:round/>
          <a:headEnd type="none" w="sm" len="sm"/>
          <a:tailEnd type="none" w="sm" len="sm"/>
        </a:ln>
      </xdr:spPr>
    </xdr:sp>
    <xdr:clientData/>
  </xdr:twoCellAnchor>
  <xdr:twoCellAnchor>
    <xdr:from>
      <xdr:col>3</xdr:col>
      <xdr:colOff>609600</xdr:colOff>
      <xdr:row>82</xdr:row>
      <xdr:rowOff>85725</xdr:rowOff>
    </xdr:from>
    <xdr:to>
      <xdr:col>3</xdr:col>
      <xdr:colOff>609600</xdr:colOff>
      <xdr:row>84</xdr:row>
      <xdr:rowOff>38100</xdr:rowOff>
    </xdr:to>
    <xdr:sp macro="" textlink="">
      <xdr:nvSpPr>
        <xdr:cNvPr id="62" name="Line 553">
          <a:extLst>
            <a:ext uri="{FF2B5EF4-FFF2-40B4-BE49-F238E27FC236}">
              <a16:creationId xmlns:a16="http://schemas.microsoft.com/office/drawing/2014/main" id="{00000000-0008-0000-0100-00003E000000}"/>
            </a:ext>
          </a:extLst>
        </xdr:cNvPr>
        <xdr:cNvSpPr>
          <a:spLocks noChangeShapeType="1"/>
        </xdr:cNvSpPr>
      </xdr:nvSpPr>
      <xdr:spPr bwMode="auto">
        <a:xfrm>
          <a:off x="1695450" y="13820775"/>
          <a:ext cx="0" cy="276225"/>
        </a:xfrm>
        <a:prstGeom prst="line">
          <a:avLst/>
        </a:prstGeom>
        <a:noFill/>
        <a:ln w="12700">
          <a:solidFill>
            <a:srgbClr val="C00000"/>
          </a:solidFill>
          <a:round/>
          <a:headEnd type="none" w="sm" len="sm"/>
          <a:tailEnd type="none" w="sm" len="sm"/>
        </a:ln>
      </xdr:spPr>
    </xdr:sp>
    <xdr:clientData/>
  </xdr:twoCellAnchor>
  <xdr:twoCellAnchor>
    <xdr:from>
      <xdr:col>2</xdr:col>
      <xdr:colOff>352425</xdr:colOff>
      <xdr:row>84</xdr:row>
      <xdr:rowOff>28575</xdr:rowOff>
    </xdr:from>
    <xdr:to>
      <xdr:col>3</xdr:col>
      <xdr:colOff>609600</xdr:colOff>
      <xdr:row>86</xdr:row>
      <xdr:rowOff>76200</xdr:rowOff>
    </xdr:to>
    <xdr:sp macro="" textlink="">
      <xdr:nvSpPr>
        <xdr:cNvPr id="63" name="Line 554">
          <a:extLst>
            <a:ext uri="{FF2B5EF4-FFF2-40B4-BE49-F238E27FC236}">
              <a16:creationId xmlns:a16="http://schemas.microsoft.com/office/drawing/2014/main" id="{00000000-0008-0000-0100-00003F000000}"/>
            </a:ext>
          </a:extLst>
        </xdr:cNvPr>
        <xdr:cNvSpPr>
          <a:spLocks noChangeShapeType="1"/>
        </xdr:cNvSpPr>
      </xdr:nvSpPr>
      <xdr:spPr bwMode="auto">
        <a:xfrm flipV="1">
          <a:off x="600075" y="14087475"/>
          <a:ext cx="1095375" cy="371475"/>
        </a:xfrm>
        <a:prstGeom prst="line">
          <a:avLst/>
        </a:prstGeom>
        <a:noFill/>
        <a:ln w="12700">
          <a:solidFill>
            <a:srgbClr val="C00000"/>
          </a:solidFill>
          <a:round/>
          <a:headEnd type="none" w="sm" len="sm"/>
          <a:tailEnd type="none" w="sm" len="sm"/>
        </a:ln>
      </xdr:spPr>
    </xdr:sp>
    <xdr:clientData/>
  </xdr:twoCellAnchor>
  <xdr:twoCellAnchor>
    <xdr:from>
      <xdr:col>2</xdr:col>
      <xdr:colOff>352425</xdr:colOff>
      <xdr:row>82</xdr:row>
      <xdr:rowOff>85725</xdr:rowOff>
    </xdr:from>
    <xdr:to>
      <xdr:col>3</xdr:col>
      <xdr:colOff>609600</xdr:colOff>
      <xdr:row>82</xdr:row>
      <xdr:rowOff>85725</xdr:rowOff>
    </xdr:to>
    <xdr:sp macro="" textlink="">
      <xdr:nvSpPr>
        <xdr:cNvPr id="64" name="Line 555">
          <a:extLst>
            <a:ext uri="{FF2B5EF4-FFF2-40B4-BE49-F238E27FC236}">
              <a16:creationId xmlns:a16="http://schemas.microsoft.com/office/drawing/2014/main" id="{00000000-0008-0000-0100-000040000000}"/>
            </a:ext>
          </a:extLst>
        </xdr:cNvPr>
        <xdr:cNvSpPr>
          <a:spLocks noChangeShapeType="1"/>
        </xdr:cNvSpPr>
      </xdr:nvSpPr>
      <xdr:spPr bwMode="auto">
        <a:xfrm flipH="1">
          <a:off x="600075" y="13820775"/>
          <a:ext cx="1095375" cy="0"/>
        </a:xfrm>
        <a:prstGeom prst="line">
          <a:avLst/>
        </a:prstGeom>
        <a:noFill/>
        <a:ln w="6350">
          <a:solidFill>
            <a:srgbClr val="C00000"/>
          </a:solidFill>
          <a:prstDash val="sysDot"/>
          <a:round/>
          <a:headEnd type="none" w="sm" len="sm"/>
          <a:tailEnd type="none" w="sm" len="sm"/>
        </a:ln>
      </xdr:spPr>
    </xdr:sp>
    <xdr:clientData/>
  </xdr:twoCellAnchor>
  <xdr:twoCellAnchor>
    <xdr:from>
      <xdr:col>3</xdr:col>
      <xdr:colOff>685800</xdr:colOff>
      <xdr:row>82</xdr:row>
      <xdr:rowOff>66675</xdr:rowOff>
    </xdr:from>
    <xdr:to>
      <xdr:col>3</xdr:col>
      <xdr:colOff>685800</xdr:colOff>
      <xdr:row>82</xdr:row>
      <xdr:rowOff>152400</xdr:rowOff>
    </xdr:to>
    <xdr:sp macro="" textlink="">
      <xdr:nvSpPr>
        <xdr:cNvPr id="65" name="Line 767">
          <a:extLst>
            <a:ext uri="{FF2B5EF4-FFF2-40B4-BE49-F238E27FC236}">
              <a16:creationId xmlns:a16="http://schemas.microsoft.com/office/drawing/2014/main" id="{00000000-0008-0000-0100-000041000000}"/>
            </a:ext>
          </a:extLst>
        </xdr:cNvPr>
        <xdr:cNvSpPr>
          <a:spLocks noChangeShapeType="1"/>
        </xdr:cNvSpPr>
      </xdr:nvSpPr>
      <xdr:spPr bwMode="auto">
        <a:xfrm flipV="1">
          <a:off x="1771650" y="13801725"/>
          <a:ext cx="0" cy="85725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 w="sm" len="sm"/>
          <a:tailEnd type="arrow" w="sm" len="sm"/>
        </a:ln>
      </xdr:spPr>
    </xdr:sp>
    <xdr:clientData/>
  </xdr:twoCellAnchor>
  <xdr:twoCellAnchor>
    <xdr:from>
      <xdr:col>3</xdr:col>
      <xdr:colOff>685800</xdr:colOff>
      <xdr:row>84</xdr:row>
      <xdr:rowOff>47625</xdr:rowOff>
    </xdr:from>
    <xdr:to>
      <xdr:col>3</xdr:col>
      <xdr:colOff>685800</xdr:colOff>
      <xdr:row>84</xdr:row>
      <xdr:rowOff>142875</xdr:rowOff>
    </xdr:to>
    <xdr:sp macro="" textlink="">
      <xdr:nvSpPr>
        <xdr:cNvPr id="66" name="Line 389">
          <a:extLst>
            <a:ext uri="{FF2B5EF4-FFF2-40B4-BE49-F238E27FC236}">
              <a16:creationId xmlns:a16="http://schemas.microsoft.com/office/drawing/2014/main" id="{00000000-0008-0000-0100-000042000000}"/>
            </a:ext>
          </a:extLst>
        </xdr:cNvPr>
        <xdr:cNvSpPr>
          <a:spLocks noChangeShapeType="1"/>
        </xdr:cNvSpPr>
      </xdr:nvSpPr>
      <xdr:spPr bwMode="auto">
        <a:xfrm flipV="1">
          <a:off x="1771650" y="14106525"/>
          <a:ext cx="0" cy="9525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 w="sm" len="sm"/>
          <a:tailEnd type="arrow" w="sm" len="sm"/>
        </a:ln>
      </xdr:spPr>
    </xdr:sp>
    <xdr:clientData/>
  </xdr:twoCellAnchor>
  <xdr:twoCellAnchor>
    <xdr:from>
      <xdr:col>3</xdr:col>
      <xdr:colOff>685800</xdr:colOff>
      <xdr:row>83</xdr:row>
      <xdr:rowOff>114300</xdr:rowOff>
    </xdr:from>
    <xdr:to>
      <xdr:col>3</xdr:col>
      <xdr:colOff>685800</xdr:colOff>
      <xdr:row>84</xdr:row>
      <xdr:rowOff>47625</xdr:rowOff>
    </xdr:to>
    <xdr:sp macro="" textlink="">
      <xdr:nvSpPr>
        <xdr:cNvPr id="67" name="Line 392">
          <a:extLst>
            <a:ext uri="{FF2B5EF4-FFF2-40B4-BE49-F238E27FC236}">
              <a16:creationId xmlns:a16="http://schemas.microsoft.com/office/drawing/2014/main" id="{00000000-0008-0000-0100-000043000000}"/>
            </a:ext>
          </a:extLst>
        </xdr:cNvPr>
        <xdr:cNvSpPr>
          <a:spLocks noChangeShapeType="1"/>
        </xdr:cNvSpPr>
      </xdr:nvSpPr>
      <xdr:spPr bwMode="auto">
        <a:xfrm>
          <a:off x="1771650" y="14011275"/>
          <a:ext cx="0" cy="9525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 w="sm" len="sm"/>
          <a:tailEnd type="arrow" w="sm" len="sm"/>
        </a:ln>
      </xdr:spPr>
    </xdr:sp>
    <xdr:clientData/>
  </xdr:twoCellAnchor>
  <xdr:twoCellAnchor>
    <xdr:from>
      <xdr:col>3</xdr:col>
      <xdr:colOff>685800</xdr:colOff>
      <xdr:row>85</xdr:row>
      <xdr:rowOff>152400</xdr:rowOff>
    </xdr:from>
    <xdr:to>
      <xdr:col>3</xdr:col>
      <xdr:colOff>685800</xdr:colOff>
      <xdr:row>86</xdr:row>
      <xdr:rowOff>85725</xdr:rowOff>
    </xdr:to>
    <xdr:sp macro="" textlink="">
      <xdr:nvSpPr>
        <xdr:cNvPr id="68" name="Line 392">
          <a:extLst>
            <a:ext uri="{FF2B5EF4-FFF2-40B4-BE49-F238E27FC236}">
              <a16:creationId xmlns:a16="http://schemas.microsoft.com/office/drawing/2014/main" id="{00000000-0008-0000-0100-000044000000}"/>
            </a:ext>
          </a:extLst>
        </xdr:cNvPr>
        <xdr:cNvSpPr>
          <a:spLocks noChangeShapeType="1"/>
        </xdr:cNvSpPr>
      </xdr:nvSpPr>
      <xdr:spPr bwMode="auto">
        <a:xfrm>
          <a:off x="1771650" y="14373225"/>
          <a:ext cx="0" cy="9525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 w="sm" len="sm"/>
          <a:tailEnd type="arrow" w="sm" len="sm"/>
        </a:ln>
      </xdr:spPr>
    </xdr:sp>
    <xdr:clientData/>
  </xdr:twoCellAnchor>
  <xdr:twoCellAnchor>
    <xdr:from>
      <xdr:col>1</xdr:col>
      <xdr:colOff>149087</xdr:colOff>
      <xdr:row>67</xdr:row>
      <xdr:rowOff>107674</xdr:rowOff>
    </xdr:from>
    <xdr:to>
      <xdr:col>3</xdr:col>
      <xdr:colOff>637761</xdr:colOff>
      <xdr:row>67</xdr:row>
      <xdr:rowOff>132522</xdr:rowOff>
    </xdr:to>
    <xdr:cxnSp macro="">
      <xdr:nvCxnSpPr>
        <xdr:cNvPr id="69" name="68 Conector recto de flecha">
          <a:extLst>
            <a:ext uri="{FF2B5EF4-FFF2-40B4-BE49-F238E27FC236}">
              <a16:creationId xmlns:a16="http://schemas.microsoft.com/office/drawing/2014/main" id="{00000000-0008-0000-0100-000045000000}"/>
            </a:ext>
          </a:extLst>
        </xdr:cNvPr>
        <xdr:cNvCxnSpPr/>
      </xdr:nvCxnSpPr>
      <xdr:spPr bwMode="auto">
        <a:xfrm rot="10800000" flipV="1">
          <a:off x="149087" y="11413849"/>
          <a:ext cx="1574524" cy="24848"/>
        </a:xfrm>
        <a:prstGeom prst="straightConnector1">
          <a:avLst/>
        </a:prstGeom>
        <a:ln>
          <a:headEnd type="none" w="med" len="med"/>
          <a:tailEnd type="arrow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</xdr:col>
      <xdr:colOff>795129</xdr:colOff>
      <xdr:row>60</xdr:row>
      <xdr:rowOff>66262</xdr:rowOff>
    </xdr:from>
    <xdr:to>
      <xdr:col>3</xdr:col>
      <xdr:colOff>811694</xdr:colOff>
      <xdr:row>67</xdr:row>
      <xdr:rowOff>107675</xdr:rowOff>
    </xdr:to>
    <xdr:cxnSp macro="">
      <xdr:nvCxnSpPr>
        <xdr:cNvPr id="70" name="69 Conector recto de flecha">
          <a:extLst>
            <a:ext uri="{FF2B5EF4-FFF2-40B4-BE49-F238E27FC236}">
              <a16:creationId xmlns:a16="http://schemas.microsoft.com/office/drawing/2014/main" id="{00000000-0008-0000-0100-000046000000}"/>
            </a:ext>
          </a:extLst>
        </xdr:cNvPr>
        <xdr:cNvCxnSpPr/>
      </xdr:nvCxnSpPr>
      <xdr:spPr bwMode="auto">
        <a:xfrm rot="5400000" flipH="1" flipV="1">
          <a:off x="1301818" y="10818123"/>
          <a:ext cx="1174888" cy="16565"/>
        </a:xfrm>
        <a:prstGeom prst="straightConnector1">
          <a:avLst/>
        </a:prstGeom>
        <a:ln>
          <a:headEnd type="none" w="med" len="med"/>
          <a:tailEnd type="arrow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</xdr:col>
      <xdr:colOff>314740</xdr:colOff>
      <xdr:row>87</xdr:row>
      <xdr:rowOff>91109</xdr:rowOff>
    </xdr:from>
    <xdr:to>
      <xdr:col>3</xdr:col>
      <xdr:colOff>621196</xdr:colOff>
      <xdr:row>87</xdr:row>
      <xdr:rowOff>99391</xdr:rowOff>
    </xdr:to>
    <xdr:cxnSp macro="">
      <xdr:nvCxnSpPr>
        <xdr:cNvPr id="71" name="70 Conector recto de flecha">
          <a:extLst>
            <a:ext uri="{FF2B5EF4-FFF2-40B4-BE49-F238E27FC236}">
              <a16:creationId xmlns:a16="http://schemas.microsoft.com/office/drawing/2014/main" id="{00000000-0008-0000-0100-000047000000}"/>
            </a:ext>
          </a:extLst>
        </xdr:cNvPr>
        <xdr:cNvCxnSpPr/>
      </xdr:nvCxnSpPr>
      <xdr:spPr bwMode="auto">
        <a:xfrm rot="10800000">
          <a:off x="562390" y="14635784"/>
          <a:ext cx="1144656" cy="8282"/>
        </a:xfrm>
        <a:prstGeom prst="straightConnector1">
          <a:avLst/>
        </a:prstGeom>
        <a:ln>
          <a:headEnd type="none" w="med" len="med"/>
          <a:tailEnd type="arrow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</xdr:col>
      <xdr:colOff>637765</xdr:colOff>
      <xdr:row>81</xdr:row>
      <xdr:rowOff>24849</xdr:rowOff>
    </xdr:from>
    <xdr:to>
      <xdr:col>3</xdr:col>
      <xdr:colOff>654327</xdr:colOff>
      <xdr:row>87</xdr:row>
      <xdr:rowOff>33131</xdr:rowOff>
    </xdr:to>
    <xdr:cxnSp macro="">
      <xdr:nvCxnSpPr>
        <xdr:cNvPr id="72" name="71 Conector recto de flecha">
          <a:extLst>
            <a:ext uri="{FF2B5EF4-FFF2-40B4-BE49-F238E27FC236}">
              <a16:creationId xmlns:a16="http://schemas.microsoft.com/office/drawing/2014/main" id="{00000000-0008-0000-0100-000048000000}"/>
            </a:ext>
          </a:extLst>
        </xdr:cNvPr>
        <xdr:cNvCxnSpPr/>
      </xdr:nvCxnSpPr>
      <xdr:spPr bwMode="auto">
        <a:xfrm rot="5400000" flipH="1" flipV="1">
          <a:off x="1241980" y="14079609"/>
          <a:ext cx="979832" cy="16562"/>
        </a:xfrm>
        <a:prstGeom prst="straightConnector1">
          <a:avLst/>
        </a:prstGeom>
        <a:ln>
          <a:headEnd type="none" w="med" len="med"/>
          <a:tailEnd type="arrow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304800</xdr:colOff>
          <xdr:row>22</xdr:row>
          <xdr:rowOff>95250</xdr:rowOff>
        </xdr:from>
        <xdr:to>
          <xdr:col>3</xdr:col>
          <xdr:colOff>828675</xdr:colOff>
          <xdr:row>24</xdr:row>
          <xdr:rowOff>95250</xdr:rowOff>
        </xdr:to>
        <xdr:sp macro="" textlink="">
          <xdr:nvSpPr>
            <xdr:cNvPr id="66561" name="Object 1" hidden="1">
              <a:extLst>
                <a:ext uri="{63B3BB69-23CF-44E3-9099-C40C66FF867C}">
                  <a14:compatExt spid="_x0000_s66561"/>
                </a:ext>
                <a:ext uri="{FF2B5EF4-FFF2-40B4-BE49-F238E27FC236}">
                  <a16:creationId xmlns:a16="http://schemas.microsoft.com/office/drawing/2014/main" id="{00000000-0008-0000-0100-000001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295275</xdr:colOff>
          <xdr:row>22</xdr:row>
          <xdr:rowOff>95250</xdr:rowOff>
        </xdr:from>
        <xdr:to>
          <xdr:col>5</xdr:col>
          <xdr:colOff>752475</xdr:colOff>
          <xdr:row>24</xdr:row>
          <xdr:rowOff>95250</xdr:rowOff>
        </xdr:to>
        <xdr:sp macro="" textlink="">
          <xdr:nvSpPr>
            <xdr:cNvPr id="66562" name="Object 2" hidden="1">
              <a:extLst>
                <a:ext uri="{63B3BB69-23CF-44E3-9099-C40C66FF867C}">
                  <a14:compatExt spid="_x0000_s66562"/>
                </a:ext>
                <a:ext uri="{FF2B5EF4-FFF2-40B4-BE49-F238E27FC236}">
                  <a16:creationId xmlns:a16="http://schemas.microsoft.com/office/drawing/2014/main" id="{00000000-0008-0000-0100-000002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85725</xdr:colOff>
          <xdr:row>32</xdr:row>
          <xdr:rowOff>66675</xdr:rowOff>
        </xdr:from>
        <xdr:to>
          <xdr:col>5</xdr:col>
          <xdr:colOff>676275</xdr:colOff>
          <xdr:row>33</xdr:row>
          <xdr:rowOff>66675</xdr:rowOff>
        </xdr:to>
        <xdr:sp macro="" textlink="">
          <xdr:nvSpPr>
            <xdr:cNvPr id="66563" name="Object 3" hidden="1">
              <a:extLst>
                <a:ext uri="{63B3BB69-23CF-44E3-9099-C40C66FF867C}">
                  <a14:compatExt spid="_x0000_s66563"/>
                </a:ext>
                <a:ext uri="{FF2B5EF4-FFF2-40B4-BE49-F238E27FC236}">
                  <a16:creationId xmlns:a16="http://schemas.microsoft.com/office/drawing/2014/main" id="{00000000-0008-0000-0100-000003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0000" mc:Ignorable="a14" a14:legacySpreadsheetColorIndex="10">
                <a:alpha val="99001"/>
              </a:srgbClr>
            </a:solidFill>
            <a:ln w="28575">
              <a:solidFill>
                <a:srgbClr val="800000" mc:Ignorable="a14" a14:legacySpreadsheetColorIndex="16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352425</xdr:colOff>
          <xdr:row>61</xdr:row>
          <xdr:rowOff>95250</xdr:rowOff>
        </xdr:from>
        <xdr:to>
          <xdr:col>5</xdr:col>
          <xdr:colOff>742950</xdr:colOff>
          <xdr:row>63</xdr:row>
          <xdr:rowOff>95250</xdr:rowOff>
        </xdr:to>
        <xdr:sp macro="" textlink="">
          <xdr:nvSpPr>
            <xdr:cNvPr id="66564" name="Object 4" hidden="1">
              <a:extLst>
                <a:ext uri="{63B3BB69-23CF-44E3-9099-C40C66FF867C}">
                  <a14:compatExt spid="_x0000_s66564"/>
                </a:ext>
                <a:ext uri="{FF2B5EF4-FFF2-40B4-BE49-F238E27FC236}">
                  <a16:creationId xmlns:a16="http://schemas.microsoft.com/office/drawing/2014/main" id="{00000000-0008-0000-0100-000004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247650</xdr:colOff>
          <xdr:row>82</xdr:row>
          <xdr:rowOff>133350</xdr:rowOff>
        </xdr:from>
        <xdr:to>
          <xdr:col>6</xdr:col>
          <xdr:colOff>9525</xdr:colOff>
          <xdr:row>85</xdr:row>
          <xdr:rowOff>133350</xdr:rowOff>
        </xdr:to>
        <xdr:sp macro="" textlink="">
          <xdr:nvSpPr>
            <xdr:cNvPr id="66565" name="Object 5" hidden="1">
              <a:extLst>
                <a:ext uri="{63B3BB69-23CF-44E3-9099-C40C66FF867C}">
                  <a14:compatExt spid="_x0000_s66565"/>
                </a:ext>
                <a:ext uri="{FF2B5EF4-FFF2-40B4-BE49-F238E27FC236}">
                  <a16:creationId xmlns:a16="http://schemas.microsoft.com/office/drawing/2014/main" id="{00000000-0008-0000-0100-000005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104775</xdr:colOff>
          <xdr:row>93</xdr:row>
          <xdr:rowOff>38100</xdr:rowOff>
        </xdr:from>
        <xdr:to>
          <xdr:col>2</xdr:col>
          <xdr:colOff>704850</xdr:colOff>
          <xdr:row>94</xdr:row>
          <xdr:rowOff>133350</xdr:rowOff>
        </xdr:to>
        <xdr:sp macro="" textlink="">
          <xdr:nvSpPr>
            <xdr:cNvPr id="66566" name="Object 6" hidden="1">
              <a:extLst>
                <a:ext uri="{63B3BB69-23CF-44E3-9099-C40C66FF867C}">
                  <a14:compatExt spid="_x0000_s66566"/>
                </a:ext>
                <a:ext uri="{FF2B5EF4-FFF2-40B4-BE49-F238E27FC236}">
                  <a16:creationId xmlns:a16="http://schemas.microsoft.com/office/drawing/2014/main" id="{00000000-0008-0000-0100-000006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28575</xdr:colOff>
          <xdr:row>103</xdr:row>
          <xdr:rowOff>38100</xdr:rowOff>
        </xdr:from>
        <xdr:to>
          <xdr:col>3</xdr:col>
          <xdr:colOff>9525</xdr:colOff>
          <xdr:row>105</xdr:row>
          <xdr:rowOff>66675</xdr:rowOff>
        </xdr:to>
        <xdr:sp macro="" textlink="">
          <xdr:nvSpPr>
            <xdr:cNvPr id="66567" name="Object 7" hidden="1">
              <a:extLst>
                <a:ext uri="{63B3BB69-23CF-44E3-9099-C40C66FF867C}">
                  <a14:compatExt spid="_x0000_s66567"/>
                </a:ext>
                <a:ext uri="{FF2B5EF4-FFF2-40B4-BE49-F238E27FC236}">
                  <a16:creationId xmlns:a16="http://schemas.microsoft.com/office/drawing/2014/main" id="{00000000-0008-0000-0100-000007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161925</xdr:colOff>
          <xdr:row>116</xdr:row>
          <xdr:rowOff>47625</xdr:rowOff>
        </xdr:from>
        <xdr:to>
          <xdr:col>3</xdr:col>
          <xdr:colOff>800100</xdr:colOff>
          <xdr:row>118</xdr:row>
          <xdr:rowOff>114300</xdr:rowOff>
        </xdr:to>
        <xdr:sp macro="" textlink="">
          <xdr:nvSpPr>
            <xdr:cNvPr id="66568" name="Object 8" hidden="1">
              <a:extLst>
                <a:ext uri="{63B3BB69-23CF-44E3-9099-C40C66FF867C}">
                  <a14:compatExt spid="_x0000_s66568"/>
                </a:ext>
                <a:ext uri="{FF2B5EF4-FFF2-40B4-BE49-F238E27FC236}">
                  <a16:creationId xmlns:a16="http://schemas.microsoft.com/office/drawing/2014/main" id="{00000000-0008-0000-0100-000008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114300</xdr:colOff>
          <xdr:row>123</xdr:row>
          <xdr:rowOff>66675</xdr:rowOff>
        </xdr:from>
        <xdr:to>
          <xdr:col>3</xdr:col>
          <xdr:colOff>819150</xdr:colOff>
          <xdr:row>125</xdr:row>
          <xdr:rowOff>142875</xdr:rowOff>
        </xdr:to>
        <xdr:sp macro="" textlink="">
          <xdr:nvSpPr>
            <xdr:cNvPr id="66569" name="Object 9" hidden="1">
              <a:extLst>
                <a:ext uri="{63B3BB69-23CF-44E3-9099-C40C66FF867C}">
                  <a14:compatExt spid="_x0000_s66569"/>
                </a:ext>
                <a:ext uri="{FF2B5EF4-FFF2-40B4-BE49-F238E27FC236}">
                  <a16:creationId xmlns:a16="http://schemas.microsoft.com/office/drawing/2014/main" id="{00000000-0008-0000-0100-000009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238125</xdr:colOff>
          <xdr:row>128</xdr:row>
          <xdr:rowOff>152400</xdr:rowOff>
        </xdr:from>
        <xdr:to>
          <xdr:col>3</xdr:col>
          <xdr:colOff>266700</xdr:colOff>
          <xdr:row>131</xdr:row>
          <xdr:rowOff>28575</xdr:rowOff>
        </xdr:to>
        <xdr:sp macro="" textlink="">
          <xdr:nvSpPr>
            <xdr:cNvPr id="66570" name="Object 10" hidden="1">
              <a:extLst>
                <a:ext uri="{63B3BB69-23CF-44E3-9099-C40C66FF867C}">
                  <a14:compatExt spid="_x0000_s66570"/>
                </a:ext>
                <a:ext uri="{FF2B5EF4-FFF2-40B4-BE49-F238E27FC236}">
                  <a16:creationId xmlns:a16="http://schemas.microsoft.com/office/drawing/2014/main" id="{00000000-0008-0000-0100-00000A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28575</xdr:colOff>
          <xdr:row>132</xdr:row>
          <xdr:rowOff>0</xdr:rowOff>
        </xdr:from>
        <xdr:to>
          <xdr:col>3</xdr:col>
          <xdr:colOff>133350</xdr:colOff>
          <xdr:row>134</xdr:row>
          <xdr:rowOff>9525</xdr:rowOff>
        </xdr:to>
        <xdr:sp macro="" textlink="">
          <xdr:nvSpPr>
            <xdr:cNvPr id="66571" name="Object 11" hidden="1">
              <a:extLst>
                <a:ext uri="{63B3BB69-23CF-44E3-9099-C40C66FF867C}">
                  <a14:compatExt spid="_x0000_s66571"/>
                </a:ext>
                <a:ext uri="{FF2B5EF4-FFF2-40B4-BE49-F238E27FC236}">
                  <a16:creationId xmlns:a16="http://schemas.microsoft.com/office/drawing/2014/main" id="{00000000-0008-0000-0100-00000B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28575</xdr:colOff>
          <xdr:row>139</xdr:row>
          <xdr:rowOff>76200</xdr:rowOff>
        </xdr:from>
        <xdr:to>
          <xdr:col>3</xdr:col>
          <xdr:colOff>133350</xdr:colOff>
          <xdr:row>141</xdr:row>
          <xdr:rowOff>85725</xdr:rowOff>
        </xdr:to>
        <xdr:sp macro="" textlink="">
          <xdr:nvSpPr>
            <xdr:cNvPr id="66572" name="Object 12" hidden="1">
              <a:extLst>
                <a:ext uri="{63B3BB69-23CF-44E3-9099-C40C66FF867C}">
                  <a14:compatExt spid="_x0000_s66572"/>
                </a:ext>
                <a:ext uri="{FF2B5EF4-FFF2-40B4-BE49-F238E27FC236}">
                  <a16:creationId xmlns:a16="http://schemas.microsoft.com/office/drawing/2014/main" id="{00000000-0008-0000-0100-00000C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228600</xdr:colOff>
          <xdr:row>141</xdr:row>
          <xdr:rowOff>152400</xdr:rowOff>
        </xdr:from>
        <xdr:to>
          <xdr:col>3</xdr:col>
          <xdr:colOff>257175</xdr:colOff>
          <xdr:row>144</xdr:row>
          <xdr:rowOff>28575</xdr:rowOff>
        </xdr:to>
        <xdr:sp macro="" textlink="">
          <xdr:nvSpPr>
            <xdr:cNvPr id="66573" name="Object 13" hidden="1">
              <a:extLst>
                <a:ext uri="{63B3BB69-23CF-44E3-9099-C40C66FF867C}">
                  <a14:compatExt spid="_x0000_s66573"/>
                </a:ext>
                <a:ext uri="{FF2B5EF4-FFF2-40B4-BE49-F238E27FC236}">
                  <a16:creationId xmlns:a16="http://schemas.microsoft.com/office/drawing/2014/main" id="{00000000-0008-0000-0100-00000D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323850</xdr:colOff>
      <xdr:row>4</xdr:row>
      <xdr:rowOff>28575</xdr:rowOff>
    </xdr:from>
    <xdr:to>
      <xdr:col>9</xdr:col>
      <xdr:colOff>809625</xdr:colOff>
      <xdr:row>21</xdr:row>
      <xdr:rowOff>76201</xdr:rowOff>
    </xdr:to>
    <xdr:graphicFrame macro="">
      <xdr:nvGraphicFramePr>
        <xdr:cNvPr id="8" name="8 Gráfico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1697935</xdr:colOff>
      <xdr:row>74</xdr:row>
      <xdr:rowOff>37274</xdr:rowOff>
    </xdr:from>
    <xdr:to>
      <xdr:col>3</xdr:col>
      <xdr:colOff>447261</xdr:colOff>
      <xdr:row>77</xdr:row>
      <xdr:rowOff>63364</xdr:rowOff>
    </xdr:to>
    <xdr:pic>
      <xdr:nvPicPr>
        <xdr:cNvPr id="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97935" y="16344074"/>
          <a:ext cx="1502051" cy="654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1890347</xdr:colOff>
      <xdr:row>79</xdr:row>
      <xdr:rowOff>152400</xdr:rowOff>
    </xdr:from>
    <xdr:to>
      <xdr:col>3</xdr:col>
      <xdr:colOff>209551</xdr:colOff>
      <xdr:row>81</xdr:row>
      <xdr:rowOff>87311</xdr:rowOff>
    </xdr:to>
    <xdr:pic>
      <xdr:nvPicPr>
        <xdr:cNvPr id="3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890347" y="17364075"/>
          <a:ext cx="1071929" cy="3540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390525</xdr:colOff>
      <xdr:row>106</xdr:row>
      <xdr:rowOff>161925</xdr:rowOff>
    </xdr:from>
    <xdr:to>
      <xdr:col>3</xdr:col>
      <xdr:colOff>200025</xdr:colOff>
      <xdr:row>108</xdr:row>
      <xdr:rowOff>142876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305050" y="22240875"/>
          <a:ext cx="647700" cy="400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1706217</xdr:colOff>
      <xdr:row>122</xdr:row>
      <xdr:rowOff>45140</xdr:rowOff>
    </xdr:from>
    <xdr:to>
      <xdr:col>5</xdr:col>
      <xdr:colOff>418685</xdr:colOff>
      <xdr:row>126</xdr:row>
      <xdr:rowOff>82392</xdr:rowOff>
    </xdr:to>
    <xdr:pic>
      <xdr:nvPicPr>
        <xdr:cNvPr id="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706217" y="25029215"/>
          <a:ext cx="3141593" cy="875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352425</xdr:colOff>
      <xdr:row>138</xdr:row>
      <xdr:rowOff>76200</xdr:rowOff>
    </xdr:from>
    <xdr:to>
      <xdr:col>5</xdr:col>
      <xdr:colOff>0</xdr:colOff>
      <xdr:row>140</xdr:row>
      <xdr:rowOff>85726</xdr:rowOff>
    </xdr:to>
    <xdr:pic>
      <xdr:nvPicPr>
        <xdr:cNvPr id="6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105150" y="27965400"/>
          <a:ext cx="1323975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152400</xdr:colOff>
      <xdr:row>145</xdr:row>
      <xdr:rowOff>161925</xdr:rowOff>
    </xdr:from>
    <xdr:to>
      <xdr:col>5</xdr:col>
      <xdr:colOff>0</xdr:colOff>
      <xdr:row>148</xdr:row>
      <xdr:rowOff>57150</xdr:rowOff>
    </xdr:to>
    <xdr:pic>
      <xdr:nvPicPr>
        <xdr:cNvPr id="7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905125" y="29317950"/>
          <a:ext cx="15240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838200</xdr:colOff>
          <xdr:row>39</xdr:row>
          <xdr:rowOff>28575</xdr:rowOff>
        </xdr:from>
        <xdr:to>
          <xdr:col>4</xdr:col>
          <xdr:colOff>428625</xdr:colOff>
          <xdr:row>40</xdr:row>
          <xdr:rowOff>133350</xdr:rowOff>
        </xdr:to>
        <xdr:sp macro="" textlink="">
          <xdr:nvSpPr>
            <xdr:cNvPr id="71681" name="Object 1" hidden="1">
              <a:extLst>
                <a:ext uri="{63B3BB69-23CF-44E3-9099-C40C66FF867C}">
                  <a14:compatExt spid="_x0000_s716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2E577A"/>
            </a:solidFill>
            <a:ln w="9525">
              <a:solidFill>
                <a:srgbClr val="800000" mc:Ignorable="a14" a14:legacySpreadsheetColorIndex="16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838200</xdr:colOff>
          <xdr:row>48</xdr:row>
          <xdr:rowOff>19050</xdr:rowOff>
        </xdr:from>
        <xdr:to>
          <xdr:col>3</xdr:col>
          <xdr:colOff>723900</xdr:colOff>
          <xdr:row>50</xdr:row>
          <xdr:rowOff>66675</xdr:rowOff>
        </xdr:to>
        <xdr:sp macro="" textlink="">
          <xdr:nvSpPr>
            <xdr:cNvPr id="71682" name="Object 2" hidden="1">
              <a:extLst>
                <a:ext uri="{63B3BB69-23CF-44E3-9099-C40C66FF867C}">
                  <a14:compatExt spid="_x0000_s716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2E577A"/>
            </a:solidFill>
            <a:ln w="9525">
              <a:solidFill>
                <a:srgbClr val="009900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9525</xdr:colOff>
          <xdr:row>53</xdr:row>
          <xdr:rowOff>28575</xdr:rowOff>
        </xdr:from>
        <xdr:to>
          <xdr:col>3</xdr:col>
          <xdr:colOff>781050</xdr:colOff>
          <xdr:row>55</xdr:row>
          <xdr:rowOff>95250</xdr:rowOff>
        </xdr:to>
        <xdr:sp macro="" textlink="">
          <xdr:nvSpPr>
            <xdr:cNvPr id="71683" name="Object 3" hidden="1">
              <a:extLst>
                <a:ext uri="{63B3BB69-23CF-44E3-9099-C40C66FF867C}">
                  <a14:compatExt spid="_x0000_s716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2E577A"/>
            </a:solidFill>
            <a:ln w="9525">
              <a:solidFill>
                <a:srgbClr val="009900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838200</xdr:colOff>
          <xdr:row>23</xdr:row>
          <xdr:rowOff>47625</xdr:rowOff>
        </xdr:from>
        <xdr:to>
          <xdr:col>4</xdr:col>
          <xdr:colOff>323850</xdr:colOff>
          <xdr:row>24</xdr:row>
          <xdr:rowOff>133350</xdr:rowOff>
        </xdr:to>
        <xdr:sp macro="" textlink="">
          <xdr:nvSpPr>
            <xdr:cNvPr id="71684" name="Object 4" hidden="1">
              <a:extLst>
                <a:ext uri="{63B3BB69-23CF-44E3-9099-C40C66FF867C}">
                  <a14:compatExt spid="_x0000_s716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2E577A"/>
            </a:solidFill>
            <a:ln w="9525">
              <a:solidFill>
                <a:srgbClr val="009900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838200</xdr:colOff>
          <xdr:row>30</xdr:row>
          <xdr:rowOff>28575</xdr:rowOff>
        </xdr:from>
        <xdr:to>
          <xdr:col>4</xdr:col>
          <xdr:colOff>447675</xdr:colOff>
          <xdr:row>31</xdr:row>
          <xdr:rowOff>104775</xdr:rowOff>
        </xdr:to>
        <xdr:sp macro="" textlink="">
          <xdr:nvSpPr>
            <xdr:cNvPr id="71685" name="Object 5" hidden="1">
              <a:extLst>
                <a:ext uri="{63B3BB69-23CF-44E3-9099-C40C66FF867C}">
                  <a14:compatExt spid="_x0000_s716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2E577A"/>
            </a:solidFill>
            <a:ln w="9525">
              <a:solidFill>
                <a:srgbClr val="800000" mc:Ignorable="a14" a14:legacySpreadsheetColorIndex="16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</xdr:col>
      <xdr:colOff>323022</xdr:colOff>
      <xdr:row>112</xdr:row>
      <xdr:rowOff>16566</xdr:rowOff>
    </xdr:from>
    <xdr:to>
      <xdr:col>1</xdr:col>
      <xdr:colOff>1637308</xdr:colOff>
      <xdr:row>115</xdr:row>
      <xdr:rowOff>50855</xdr:rowOff>
    </xdr:to>
    <xdr:pic>
      <xdr:nvPicPr>
        <xdr:cNvPr id="13" name="Imagen 12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323022" y="23190891"/>
          <a:ext cx="1314286" cy="662939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79</xdr:row>
      <xdr:rowOff>3224</xdr:rowOff>
    </xdr:from>
    <xdr:to>
      <xdr:col>1</xdr:col>
      <xdr:colOff>1543351</xdr:colOff>
      <xdr:row>82</xdr:row>
      <xdr:rowOff>95251</xdr:rowOff>
    </xdr:to>
    <xdr:pic>
      <xdr:nvPicPr>
        <xdr:cNvPr id="14" name="Imagen 13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17214899"/>
          <a:ext cx="1543351" cy="72067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KD&amp;HEM~1\AppData\Local\Temp\Rar$DI03.511\DISE&#209;O%20DE%20BOCATOMA%20con%20estabilida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EÑO HIDRAULICO (2)"/>
      <sheetName val="ANAL-ESTAB"/>
      <sheetName val="DISEÑO HIDRAULICO"/>
      <sheetName val="Hoja1"/>
    </sheetNames>
    <sheetDataSet>
      <sheetData sheetId="0" refreshError="1"/>
      <sheetData sheetId="1" refreshError="1"/>
      <sheetData sheetId="2">
        <row r="183">
          <cell r="C183">
            <v>2.2005800034059679</v>
          </cell>
        </row>
        <row r="226">
          <cell r="C226">
            <v>0.81200000000000006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3.bin"/><Relationship Id="rId13" Type="http://schemas.openxmlformats.org/officeDocument/2006/relationships/image" Target="../media/image5.emf"/><Relationship Id="rId18" Type="http://schemas.openxmlformats.org/officeDocument/2006/relationships/oleObject" Target="../embeddings/oleObject8.bin"/><Relationship Id="rId26" Type="http://schemas.openxmlformats.org/officeDocument/2006/relationships/oleObject" Target="../embeddings/oleObject12.bin"/><Relationship Id="rId39" Type="http://schemas.openxmlformats.org/officeDocument/2006/relationships/image" Target="../media/image18.emf"/><Relationship Id="rId3" Type="http://schemas.openxmlformats.org/officeDocument/2006/relationships/vmlDrawing" Target="../drawings/vmlDrawing1.vml"/><Relationship Id="rId21" Type="http://schemas.openxmlformats.org/officeDocument/2006/relationships/image" Target="../media/image9.emf"/><Relationship Id="rId34" Type="http://schemas.openxmlformats.org/officeDocument/2006/relationships/oleObject" Target="../embeddings/oleObject16.bin"/><Relationship Id="rId42" Type="http://schemas.openxmlformats.org/officeDocument/2006/relationships/oleObject" Target="../embeddings/oleObject20.bin"/><Relationship Id="rId7" Type="http://schemas.openxmlformats.org/officeDocument/2006/relationships/image" Target="../media/image2.emf"/><Relationship Id="rId12" Type="http://schemas.openxmlformats.org/officeDocument/2006/relationships/oleObject" Target="../embeddings/oleObject5.bin"/><Relationship Id="rId17" Type="http://schemas.openxmlformats.org/officeDocument/2006/relationships/image" Target="../media/image7.emf"/><Relationship Id="rId25" Type="http://schemas.openxmlformats.org/officeDocument/2006/relationships/image" Target="../media/image11.emf"/><Relationship Id="rId33" Type="http://schemas.openxmlformats.org/officeDocument/2006/relationships/image" Target="../media/image15.png"/><Relationship Id="rId38" Type="http://schemas.openxmlformats.org/officeDocument/2006/relationships/oleObject" Target="../embeddings/oleObject18.bin"/><Relationship Id="rId2" Type="http://schemas.openxmlformats.org/officeDocument/2006/relationships/drawing" Target="../drawings/drawing1.xml"/><Relationship Id="rId16" Type="http://schemas.openxmlformats.org/officeDocument/2006/relationships/oleObject" Target="../embeddings/oleObject7.bin"/><Relationship Id="rId20" Type="http://schemas.openxmlformats.org/officeDocument/2006/relationships/oleObject" Target="../embeddings/oleObject9.bin"/><Relationship Id="rId29" Type="http://schemas.openxmlformats.org/officeDocument/2006/relationships/image" Target="../media/image13.wmf"/><Relationship Id="rId41" Type="http://schemas.openxmlformats.org/officeDocument/2006/relationships/image" Target="../media/image19.emf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11" Type="http://schemas.openxmlformats.org/officeDocument/2006/relationships/image" Target="../media/image4.emf"/><Relationship Id="rId24" Type="http://schemas.openxmlformats.org/officeDocument/2006/relationships/oleObject" Target="../embeddings/oleObject11.bin"/><Relationship Id="rId32" Type="http://schemas.openxmlformats.org/officeDocument/2006/relationships/oleObject" Target="../embeddings/oleObject15.bin"/><Relationship Id="rId37" Type="http://schemas.openxmlformats.org/officeDocument/2006/relationships/image" Target="../media/image17.emf"/><Relationship Id="rId40" Type="http://schemas.openxmlformats.org/officeDocument/2006/relationships/oleObject" Target="../embeddings/oleObject19.bin"/><Relationship Id="rId5" Type="http://schemas.openxmlformats.org/officeDocument/2006/relationships/image" Target="../media/image1.emf"/><Relationship Id="rId15" Type="http://schemas.openxmlformats.org/officeDocument/2006/relationships/image" Target="../media/image6.emf"/><Relationship Id="rId23" Type="http://schemas.openxmlformats.org/officeDocument/2006/relationships/image" Target="../media/image10.emf"/><Relationship Id="rId28" Type="http://schemas.openxmlformats.org/officeDocument/2006/relationships/oleObject" Target="../embeddings/oleObject13.bin"/><Relationship Id="rId36" Type="http://schemas.openxmlformats.org/officeDocument/2006/relationships/oleObject" Target="../embeddings/oleObject17.bin"/><Relationship Id="rId10" Type="http://schemas.openxmlformats.org/officeDocument/2006/relationships/oleObject" Target="../embeddings/oleObject4.bin"/><Relationship Id="rId19" Type="http://schemas.openxmlformats.org/officeDocument/2006/relationships/image" Target="../media/image8.emf"/><Relationship Id="rId31" Type="http://schemas.openxmlformats.org/officeDocument/2006/relationships/image" Target="../media/image14.emf"/><Relationship Id="rId4" Type="http://schemas.openxmlformats.org/officeDocument/2006/relationships/oleObject" Target="../embeddings/oleObject1.bin"/><Relationship Id="rId9" Type="http://schemas.openxmlformats.org/officeDocument/2006/relationships/image" Target="../media/image3.emf"/><Relationship Id="rId14" Type="http://schemas.openxmlformats.org/officeDocument/2006/relationships/oleObject" Target="../embeddings/oleObject6.bin"/><Relationship Id="rId22" Type="http://schemas.openxmlformats.org/officeDocument/2006/relationships/oleObject" Target="../embeddings/oleObject10.bin"/><Relationship Id="rId27" Type="http://schemas.openxmlformats.org/officeDocument/2006/relationships/image" Target="../media/image12.emf"/><Relationship Id="rId30" Type="http://schemas.openxmlformats.org/officeDocument/2006/relationships/oleObject" Target="../embeddings/oleObject14.bin"/><Relationship Id="rId35" Type="http://schemas.openxmlformats.org/officeDocument/2006/relationships/image" Target="../media/image16.wmf"/><Relationship Id="rId43" Type="http://schemas.openxmlformats.org/officeDocument/2006/relationships/image" Target="../media/image20.emf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23.bin"/><Relationship Id="rId13" Type="http://schemas.openxmlformats.org/officeDocument/2006/relationships/image" Target="../media/image32.emf"/><Relationship Id="rId18" Type="http://schemas.openxmlformats.org/officeDocument/2006/relationships/oleObject" Target="../embeddings/oleObject29.bin"/><Relationship Id="rId26" Type="http://schemas.openxmlformats.org/officeDocument/2006/relationships/comments" Target="../comments1.xml"/><Relationship Id="rId3" Type="http://schemas.openxmlformats.org/officeDocument/2006/relationships/vmlDrawing" Target="../drawings/vmlDrawing2.vml"/><Relationship Id="rId21" Type="http://schemas.openxmlformats.org/officeDocument/2006/relationships/image" Target="../media/image36.emf"/><Relationship Id="rId7" Type="http://schemas.openxmlformats.org/officeDocument/2006/relationships/image" Target="../media/image30.wmf"/><Relationship Id="rId12" Type="http://schemas.openxmlformats.org/officeDocument/2006/relationships/oleObject" Target="../embeddings/oleObject26.bin"/><Relationship Id="rId17" Type="http://schemas.openxmlformats.org/officeDocument/2006/relationships/image" Target="../media/image34.emf"/><Relationship Id="rId25" Type="http://schemas.openxmlformats.org/officeDocument/2006/relationships/oleObject" Target="../embeddings/oleObject33.bin"/><Relationship Id="rId2" Type="http://schemas.openxmlformats.org/officeDocument/2006/relationships/drawing" Target="../drawings/drawing2.xml"/><Relationship Id="rId16" Type="http://schemas.openxmlformats.org/officeDocument/2006/relationships/oleObject" Target="../embeddings/oleObject28.bin"/><Relationship Id="rId20" Type="http://schemas.openxmlformats.org/officeDocument/2006/relationships/oleObject" Target="../embeddings/oleObject30.bin"/><Relationship Id="rId1" Type="http://schemas.openxmlformats.org/officeDocument/2006/relationships/printerSettings" Target="../printerSettings/printerSettings2.bin"/><Relationship Id="rId6" Type="http://schemas.openxmlformats.org/officeDocument/2006/relationships/oleObject" Target="../embeddings/oleObject22.bin"/><Relationship Id="rId11" Type="http://schemas.openxmlformats.org/officeDocument/2006/relationships/oleObject" Target="../embeddings/oleObject25.bin"/><Relationship Id="rId24" Type="http://schemas.openxmlformats.org/officeDocument/2006/relationships/oleObject" Target="../embeddings/oleObject32.bin"/><Relationship Id="rId5" Type="http://schemas.openxmlformats.org/officeDocument/2006/relationships/image" Target="../media/image29.wmf"/><Relationship Id="rId15" Type="http://schemas.openxmlformats.org/officeDocument/2006/relationships/image" Target="../media/image33.emf"/><Relationship Id="rId23" Type="http://schemas.openxmlformats.org/officeDocument/2006/relationships/image" Target="../media/image37.emf"/><Relationship Id="rId10" Type="http://schemas.openxmlformats.org/officeDocument/2006/relationships/oleObject" Target="../embeddings/oleObject24.bin"/><Relationship Id="rId19" Type="http://schemas.openxmlformats.org/officeDocument/2006/relationships/image" Target="../media/image35.emf"/><Relationship Id="rId4" Type="http://schemas.openxmlformats.org/officeDocument/2006/relationships/oleObject" Target="../embeddings/oleObject21.bin"/><Relationship Id="rId9" Type="http://schemas.openxmlformats.org/officeDocument/2006/relationships/image" Target="../media/image31.emf"/><Relationship Id="rId14" Type="http://schemas.openxmlformats.org/officeDocument/2006/relationships/oleObject" Target="../embeddings/oleObject27.bin"/><Relationship Id="rId22" Type="http://schemas.openxmlformats.org/officeDocument/2006/relationships/oleObject" Target="../embeddings/oleObject3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36.bin"/><Relationship Id="rId13" Type="http://schemas.openxmlformats.org/officeDocument/2006/relationships/image" Target="../media/image42.emf"/><Relationship Id="rId3" Type="http://schemas.openxmlformats.org/officeDocument/2006/relationships/vmlDrawing" Target="../drawings/vmlDrawing3.vml"/><Relationship Id="rId7" Type="http://schemas.openxmlformats.org/officeDocument/2006/relationships/image" Target="../media/image39.emf"/><Relationship Id="rId12" Type="http://schemas.openxmlformats.org/officeDocument/2006/relationships/oleObject" Target="../embeddings/oleObject38.bin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oleObject" Target="../embeddings/oleObject35.bin"/><Relationship Id="rId11" Type="http://schemas.openxmlformats.org/officeDocument/2006/relationships/image" Target="../media/image41.emf"/><Relationship Id="rId5" Type="http://schemas.openxmlformats.org/officeDocument/2006/relationships/image" Target="../media/image38.wmf"/><Relationship Id="rId10" Type="http://schemas.openxmlformats.org/officeDocument/2006/relationships/oleObject" Target="../embeddings/oleObject37.bin"/><Relationship Id="rId4" Type="http://schemas.openxmlformats.org/officeDocument/2006/relationships/oleObject" Target="../embeddings/oleObject34.bin"/><Relationship Id="rId9" Type="http://schemas.openxmlformats.org/officeDocument/2006/relationships/image" Target="../media/image40.emf"/><Relationship Id="rId1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C44"/>
  <sheetViews>
    <sheetView workbookViewId="0">
      <selection activeCell="H26" sqref="H26"/>
    </sheetView>
  </sheetViews>
  <sheetFormatPr baseColWidth="10" defaultRowHeight="16.5" x14ac:dyDescent="0.3"/>
  <cols>
    <col min="1" max="16384" width="11" style="1"/>
  </cols>
  <sheetData>
    <row r="1" spans="2:29" ht="17.25" thickBot="1" x14ac:dyDescent="0.35"/>
    <row r="2" spans="2:29" ht="17.25" thickBot="1" x14ac:dyDescent="0.35">
      <c r="B2" s="2" t="s">
        <v>441</v>
      </c>
      <c r="C2" s="2" t="s">
        <v>442</v>
      </c>
      <c r="D2" s="2"/>
      <c r="E2" s="2"/>
      <c r="F2" s="2"/>
      <c r="G2" s="2" t="s">
        <v>443</v>
      </c>
      <c r="H2" s="2" t="s">
        <v>444</v>
      </c>
      <c r="I2" s="2" t="s">
        <v>445</v>
      </c>
      <c r="J2" s="2" t="s">
        <v>446</v>
      </c>
      <c r="L2" s="372" t="s">
        <v>438</v>
      </c>
      <c r="M2" s="373"/>
      <c r="N2" s="373"/>
      <c r="O2" s="373"/>
      <c r="P2" s="373"/>
      <c r="Q2" s="374"/>
      <c r="R2" s="3"/>
      <c r="S2" s="3"/>
      <c r="T2" s="3"/>
      <c r="U2" s="378" t="s">
        <v>440</v>
      </c>
      <c r="V2" s="379"/>
      <c r="W2" s="379"/>
      <c r="X2" s="379"/>
      <c r="Y2" s="379"/>
      <c r="Z2" s="379"/>
      <c r="AA2" s="379"/>
      <c r="AB2" s="379"/>
      <c r="AC2" s="380"/>
    </row>
    <row r="3" spans="2:29" ht="17.25" thickBot="1" x14ac:dyDescent="0.35">
      <c r="B3" s="2" t="s">
        <v>456</v>
      </c>
      <c r="C3" s="4">
        <v>1.48</v>
      </c>
      <c r="D3" s="5"/>
      <c r="E3" s="6"/>
      <c r="F3" s="7"/>
      <c r="G3" s="4"/>
      <c r="H3" s="4"/>
      <c r="I3" s="4"/>
      <c r="J3" s="8">
        <v>3278</v>
      </c>
      <c r="L3" s="375"/>
      <c r="M3" s="376"/>
      <c r="N3" s="376"/>
      <c r="O3" s="376"/>
      <c r="P3" s="376"/>
      <c r="Q3" s="377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</row>
    <row r="4" spans="2:29" ht="17.25" thickBot="1" x14ac:dyDescent="0.35">
      <c r="B4" s="2" t="s">
        <v>457</v>
      </c>
      <c r="C4" s="4">
        <v>1.48</v>
      </c>
      <c r="D4" s="8">
        <v>3278</v>
      </c>
      <c r="E4" s="9">
        <f>$H$4</f>
        <v>1.02</v>
      </c>
      <c r="F4" s="10">
        <v>0</v>
      </c>
      <c r="G4" s="4">
        <v>0</v>
      </c>
      <c r="H4" s="4">
        <v>1.02</v>
      </c>
      <c r="I4" s="4">
        <f>H4-E4</f>
        <v>0</v>
      </c>
      <c r="J4" s="4">
        <f>+$J$3+C4-H4</f>
        <v>3278.46</v>
      </c>
      <c r="L4" s="3"/>
      <c r="M4" s="3"/>
      <c r="N4" s="3"/>
      <c r="O4" s="3"/>
      <c r="P4" s="3"/>
      <c r="Q4" s="3"/>
      <c r="R4" s="3"/>
      <c r="S4" s="3"/>
      <c r="T4" s="3"/>
      <c r="U4" s="11" t="s">
        <v>451</v>
      </c>
      <c r="V4" s="12" t="s">
        <v>452</v>
      </c>
      <c r="W4" s="12" t="s">
        <v>467</v>
      </c>
      <c r="X4" s="12" t="s">
        <v>468</v>
      </c>
      <c r="Y4" s="12" t="s">
        <v>453</v>
      </c>
      <c r="Z4" s="13"/>
      <c r="AA4" s="14" t="s">
        <v>451</v>
      </c>
      <c r="AB4" s="12" t="s">
        <v>454</v>
      </c>
      <c r="AC4" s="12" t="s">
        <v>455</v>
      </c>
    </row>
    <row r="5" spans="2:29" ht="17.25" thickBot="1" x14ac:dyDescent="0.35">
      <c r="B5" s="2" t="s">
        <v>458</v>
      </c>
      <c r="C5" s="4">
        <v>1.48</v>
      </c>
      <c r="D5" s="8">
        <v>3278</v>
      </c>
      <c r="E5" s="9">
        <f t="shared" ref="E5:E6" si="0">$H$4</f>
        <v>1.02</v>
      </c>
      <c r="F5" s="10">
        <f>+F4+G5</f>
        <v>3.12</v>
      </c>
      <c r="G5" s="4">
        <v>3.12</v>
      </c>
      <c r="H5" s="4">
        <v>1.58</v>
      </c>
      <c r="I5" s="4">
        <f>H5-E5</f>
        <v>0.56000000000000005</v>
      </c>
      <c r="J5" s="4">
        <f t="shared" ref="J5:J7" si="1">+$J$3+C5-H5</f>
        <v>3277.9</v>
      </c>
      <c r="L5" s="378" t="s">
        <v>439</v>
      </c>
      <c r="M5" s="379"/>
      <c r="N5" s="379"/>
      <c r="O5" s="379"/>
      <c r="P5" s="379"/>
      <c r="Q5" s="380"/>
      <c r="R5" s="15"/>
      <c r="S5" s="3"/>
      <c r="T5" s="3"/>
      <c r="U5" s="11">
        <v>1</v>
      </c>
      <c r="V5" s="16">
        <v>18.899999999999999</v>
      </c>
      <c r="W5" s="16">
        <v>17.399999999999999</v>
      </c>
      <c r="X5" s="17">
        <v>19.239999999999998</v>
      </c>
      <c r="Y5" s="17">
        <f>AVERAGE(V5,X5,W5)</f>
        <v>18.513333333333332</v>
      </c>
      <c r="Z5" s="18"/>
      <c r="AA5" s="19">
        <v>1</v>
      </c>
      <c r="AB5" s="20">
        <f>Y5/$U$11</f>
        <v>0.92566666666666664</v>
      </c>
      <c r="AC5" s="21">
        <f>+AB5*$X$11</f>
        <v>0.69425000000000003</v>
      </c>
    </row>
    <row r="6" spans="2:29" ht="17.25" thickBot="1" x14ac:dyDescent="0.35">
      <c r="B6" s="2" t="s">
        <v>459</v>
      </c>
      <c r="C6" s="4">
        <v>1.48</v>
      </c>
      <c r="D6" s="8">
        <v>3278</v>
      </c>
      <c r="E6" s="9">
        <f t="shared" si="0"/>
        <v>1.02</v>
      </c>
      <c r="F6" s="10">
        <f t="shared" ref="F6:F7" si="2">+F5+G6</f>
        <v>6.24</v>
      </c>
      <c r="G6" s="4">
        <v>3.12</v>
      </c>
      <c r="H6" s="4">
        <v>1.48</v>
      </c>
      <c r="I6" s="4">
        <f>H6-E6</f>
        <v>0.45999999999999996</v>
      </c>
      <c r="J6" s="4">
        <f t="shared" si="1"/>
        <v>3278</v>
      </c>
      <c r="L6" s="3"/>
      <c r="M6" s="3"/>
      <c r="N6" s="3"/>
      <c r="O6" s="3"/>
      <c r="P6" s="3"/>
      <c r="Q6" s="3"/>
      <c r="R6" s="3"/>
      <c r="S6" s="3"/>
      <c r="T6" s="3"/>
      <c r="U6" s="11">
        <v>2</v>
      </c>
      <c r="V6" s="22">
        <v>18.3</v>
      </c>
      <c r="W6" s="22">
        <v>18.600000000000001</v>
      </c>
      <c r="X6" s="23">
        <v>18.399999999999999</v>
      </c>
      <c r="Y6" s="17">
        <f>AVERAGE(V6,X6,W6)</f>
        <v>18.433333333333334</v>
      </c>
      <c r="Z6" s="18"/>
      <c r="AA6" s="19">
        <v>2</v>
      </c>
      <c r="AB6" s="20">
        <f t="shared" ref="AB6:AB7" si="3">Y6/$U$11</f>
        <v>0.92166666666666663</v>
      </c>
      <c r="AC6" s="21">
        <f t="shared" ref="AC6:AC7" si="4">+AB6*$X$11</f>
        <v>0.69124999999999992</v>
      </c>
    </row>
    <row r="7" spans="2:29" ht="17.25" thickBot="1" x14ac:dyDescent="0.35">
      <c r="B7" s="2" t="s">
        <v>460</v>
      </c>
      <c r="C7" s="4">
        <v>1.48</v>
      </c>
      <c r="D7" s="8">
        <v>3278</v>
      </c>
      <c r="E7" s="24">
        <f>$H$4</f>
        <v>1.02</v>
      </c>
      <c r="F7" s="25">
        <f t="shared" si="2"/>
        <v>9.36</v>
      </c>
      <c r="G7" s="4">
        <v>3.12</v>
      </c>
      <c r="H7" s="4">
        <f>H4</f>
        <v>1.02</v>
      </c>
      <c r="I7" s="4">
        <f>H7-E7</f>
        <v>0</v>
      </c>
      <c r="J7" s="4">
        <f t="shared" si="1"/>
        <v>3278.46</v>
      </c>
      <c r="L7" s="26" t="s">
        <v>469</v>
      </c>
      <c r="M7" s="26" t="s">
        <v>470</v>
      </c>
      <c r="N7" s="26" t="s">
        <v>447</v>
      </c>
      <c r="O7" s="26" t="s">
        <v>448</v>
      </c>
      <c r="P7" s="26" t="s">
        <v>318</v>
      </c>
      <c r="Q7" s="3"/>
      <c r="R7" s="11" t="s">
        <v>449</v>
      </c>
      <c r="S7" s="27" t="s">
        <v>450</v>
      </c>
      <c r="T7" s="3"/>
      <c r="U7" s="11">
        <v>3</v>
      </c>
      <c r="V7" s="22">
        <v>19.399999999999999</v>
      </c>
      <c r="W7" s="22">
        <v>17.899999999999999</v>
      </c>
      <c r="X7" s="23">
        <v>23.76</v>
      </c>
      <c r="Y7" s="17">
        <f t="shared" ref="Y7" si="5">AVERAGE(V7,X7,W7)</f>
        <v>20.353333333333332</v>
      </c>
      <c r="Z7" s="18"/>
      <c r="AA7" s="19">
        <v>3</v>
      </c>
      <c r="AB7" s="20">
        <f t="shared" si="3"/>
        <v>1.0176666666666665</v>
      </c>
      <c r="AC7" s="21">
        <f t="shared" si="4"/>
        <v>0.76324999999999987</v>
      </c>
    </row>
    <row r="8" spans="2:29" ht="17.25" thickBot="1" x14ac:dyDescent="0.35">
      <c r="G8" s="28">
        <f>SUM(G4:G7)</f>
        <v>9.36</v>
      </c>
      <c r="L8" s="26"/>
      <c r="M8" s="29">
        <f>+G8</f>
        <v>9.36</v>
      </c>
      <c r="N8" s="30"/>
      <c r="O8" s="30"/>
      <c r="P8" s="30"/>
      <c r="Q8" s="3"/>
      <c r="R8" s="12">
        <f>O14*M9</f>
        <v>3.1823999999999999</v>
      </c>
      <c r="S8" s="41">
        <f>PRODUCT(R8,$AC$9)</f>
        <v>2.2793939999999999</v>
      </c>
      <c r="T8" s="3"/>
      <c r="U8" s="3"/>
      <c r="V8" s="3"/>
      <c r="W8" s="3"/>
      <c r="X8" s="3"/>
      <c r="Y8" s="3"/>
      <c r="Z8" s="3"/>
      <c r="AA8" s="3"/>
      <c r="AB8" s="3"/>
      <c r="AC8" s="3"/>
    </row>
    <row r="9" spans="2:29" ht="17.25" thickBot="1" x14ac:dyDescent="0.35">
      <c r="L9" s="26"/>
      <c r="M9" s="29">
        <f>+M8/L12</f>
        <v>3.1199999999999997</v>
      </c>
      <c r="N9" s="29">
        <v>0</v>
      </c>
      <c r="O9" s="31"/>
      <c r="P9" s="31"/>
      <c r="Q9" s="3"/>
      <c r="T9" s="3"/>
      <c r="U9" s="3"/>
      <c r="V9" s="3"/>
      <c r="W9" s="3"/>
      <c r="X9" s="3"/>
      <c r="Y9" s="3"/>
      <c r="Z9" s="3"/>
      <c r="AA9" s="3"/>
      <c r="AB9" s="32">
        <f>+AVERAGE(AB5:AB7)</f>
        <v>0.95499999999999996</v>
      </c>
      <c r="AC9" s="32">
        <f>+AVERAGE(AC5:AC7)</f>
        <v>0.71624999999999994</v>
      </c>
    </row>
    <row r="10" spans="2:29" ht="17.25" thickBot="1" x14ac:dyDescent="0.35">
      <c r="L10" s="26">
        <v>1</v>
      </c>
      <c r="M10" s="26"/>
      <c r="N10" s="30"/>
      <c r="O10" s="31">
        <f>+I5</f>
        <v>0.56000000000000005</v>
      </c>
      <c r="P10" s="31"/>
      <c r="Q10" s="3"/>
      <c r="T10" s="3"/>
      <c r="U10" s="11" t="s">
        <v>461</v>
      </c>
      <c r="V10" s="33"/>
      <c r="W10" s="33"/>
      <c r="X10" s="11" t="s">
        <v>462</v>
      </c>
      <c r="Y10" s="34" t="s">
        <v>466</v>
      </c>
      <c r="Z10" s="3"/>
      <c r="AA10" s="3"/>
      <c r="AB10" s="3"/>
      <c r="AC10" s="3"/>
    </row>
    <row r="11" spans="2:29" ht="17.25" thickBot="1" x14ac:dyDescent="0.35">
      <c r="B11" s="2" t="s">
        <v>441</v>
      </c>
      <c r="C11" s="2" t="s">
        <v>442</v>
      </c>
      <c r="D11" s="2"/>
      <c r="E11" s="2"/>
      <c r="F11" s="2"/>
      <c r="G11" s="2" t="s">
        <v>443</v>
      </c>
      <c r="H11" s="2" t="s">
        <v>444</v>
      </c>
      <c r="I11" s="2" t="s">
        <v>445</v>
      </c>
      <c r="J11" s="2" t="s">
        <v>446</v>
      </c>
      <c r="L11" s="26">
        <v>2</v>
      </c>
      <c r="M11" s="26"/>
      <c r="N11" s="30"/>
      <c r="O11" s="31"/>
      <c r="P11" s="31">
        <f>I6</f>
        <v>0.45999999999999996</v>
      </c>
      <c r="Q11" s="3"/>
      <c r="T11" s="3"/>
      <c r="U11" s="35">
        <v>20</v>
      </c>
      <c r="V11" s="36"/>
      <c r="W11" s="36"/>
      <c r="X11" s="37">
        <v>0.75</v>
      </c>
      <c r="Y11" s="3"/>
      <c r="Z11" s="3"/>
      <c r="AA11" s="3"/>
      <c r="AB11" s="3"/>
      <c r="AC11" s="3"/>
    </row>
    <row r="12" spans="2:29" ht="17.25" thickBot="1" x14ac:dyDescent="0.35">
      <c r="B12" s="2" t="s">
        <v>471</v>
      </c>
      <c r="C12" s="4">
        <v>1.46</v>
      </c>
      <c r="D12" s="5"/>
      <c r="E12" s="6"/>
      <c r="F12" s="7"/>
      <c r="G12" s="4"/>
      <c r="H12" s="4"/>
      <c r="I12" s="4"/>
      <c r="J12" s="8">
        <v>3278</v>
      </c>
      <c r="L12" s="26">
        <v>3</v>
      </c>
      <c r="M12" s="26"/>
      <c r="N12" s="30"/>
      <c r="O12" s="31"/>
      <c r="P12" s="31"/>
      <c r="Q12" s="3"/>
      <c r="T12" s="3"/>
      <c r="U12" s="38"/>
      <c r="V12" s="36"/>
      <c r="W12" s="36"/>
      <c r="X12" s="33"/>
      <c r="Y12" s="3"/>
      <c r="Z12" s="3"/>
      <c r="AA12" s="3"/>
      <c r="AB12" s="3"/>
      <c r="AC12" s="3"/>
    </row>
    <row r="13" spans="2:29" ht="17.25" thickBot="1" x14ac:dyDescent="0.35">
      <c r="B13" s="2" t="s">
        <v>457</v>
      </c>
      <c r="C13" s="4">
        <v>1.46</v>
      </c>
      <c r="D13" s="8">
        <v>3278</v>
      </c>
      <c r="E13" s="9">
        <f>$H$13</f>
        <v>1.23</v>
      </c>
      <c r="F13" s="10">
        <v>0</v>
      </c>
      <c r="G13" s="4">
        <v>0</v>
      </c>
      <c r="H13" s="4">
        <v>1.23</v>
      </c>
      <c r="I13" s="4">
        <f>H13-E13</f>
        <v>0</v>
      </c>
      <c r="J13" s="4">
        <f>+$J$3+C13-H13</f>
        <v>3278.23</v>
      </c>
      <c r="L13" s="26"/>
      <c r="M13" s="26"/>
      <c r="N13" s="30"/>
      <c r="O13" s="31">
        <f>+O10</f>
        <v>0.56000000000000005</v>
      </c>
      <c r="P13" s="31">
        <f>+P11</f>
        <v>0.45999999999999996</v>
      </c>
      <c r="Q13" s="3"/>
      <c r="T13" s="3"/>
    </row>
    <row r="14" spans="2:29" ht="17.25" thickBot="1" x14ac:dyDescent="0.35">
      <c r="B14" s="2" t="s">
        <v>458</v>
      </c>
      <c r="C14" s="4">
        <v>1.46</v>
      </c>
      <c r="D14" s="8">
        <v>3278</v>
      </c>
      <c r="E14" s="9">
        <f t="shared" ref="E14:E16" si="6">$H$13</f>
        <v>1.23</v>
      </c>
      <c r="F14" s="10">
        <f>+F13+G14</f>
        <v>3.0779999999999998</v>
      </c>
      <c r="G14" s="4">
        <v>3.0779999999999998</v>
      </c>
      <c r="H14" s="4">
        <v>1.55</v>
      </c>
      <c r="I14" s="4">
        <f>H14-E14</f>
        <v>0.32000000000000006</v>
      </c>
      <c r="J14" s="4">
        <f t="shared" ref="J14:J16" si="7">+$J$3+C14-H14</f>
        <v>3277.91</v>
      </c>
      <c r="L14" s="26" t="s">
        <v>472</v>
      </c>
      <c r="M14" s="26"/>
      <c r="N14" s="30"/>
      <c r="O14" s="381">
        <f>+O13+P13</f>
        <v>1.02</v>
      </c>
      <c r="P14" s="381"/>
      <c r="Q14" s="3"/>
      <c r="T14" s="3"/>
    </row>
    <row r="15" spans="2:29" ht="17.25" thickBot="1" x14ac:dyDescent="0.35">
      <c r="B15" s="2" t="s">
        <v>459</v>
      </c>
      <c r="C15" s="4">
        <v>1.46</v>
      </c>
      <c r="D15" s="8">
        <v>3278</v>
      </c>
      <c r="E15" s="9">
        <f t="shared" si="6"/>
        <v>1.23</v>
      </c>
      <c r="F15" s="10">
        <f t="shared" ref="F15:F16" si="8">+F14+G15</f>
        <v>6.1559999999999997</v>
      </c>
      <c r="G15" s="4">
        <v>3.0779999999999998</v>
      </c>
      <c r="H15" s="4">
        <v>1.65</v>
      </c>
      <c r="I15" s="4">
        <f>H15-E15</f>
        <v>0.41999999999999993</v>
      </c>
      <c r="J15" s="4">
        <f>+$J$3+C15-H15</f>
        <v>3277.81</v>
      </c>
      <c r="L15" s="36"/>
      <c r="M15" s="36"/>
      <c r="N15" s="3"/>
      <c r="O15" s="39"/>
      <c r="P15" s="39"/>
      <c r="Q15" s="3"/>
      <c r="R15" s="13"/>
      <c r="S15" s="13"/>
      <c r="T15" s="3"/>
    </row>
    <row r="16" spans="2:29" ht="17.25" thickBot="1" x14ac:dyDescent="0.35">
      <c r="B16" s="2" t="s">
        <v>460</v>
      </c>
      <c r="C16" s="4">
        <v>1.46</v>
      </c>
      <c r="D16" s="8">
        <v>3278</v>
      </c>
      <c r="E16" s="24">
        <f t="shared" si="6"/>
        <v>1.23</v>
      </c>
      <c r="F16" s="25">
        <f t="shared" si="8"/>
        <v>9.234</v>
      </c>
      <c r="G16" s="4">
        <v>3.0779999999999998</v>
      </c>
      <c r="H16" s="4">
        <f>H13</f>
        <v>1.23</v>
      </c>
      <c r="I16" s="4">
        <f>H16-E16</f>
        <v>0</v>
      </c>
      <c r="J16" s="4">
        <f t="shared" si="7"/>
        <v>3278.23</v>
      </c>
      <c r="L16" s="382" t="s">
        <v>463</v>
      </c>
      <c r="M16" s="383"/>
      <c r="N16" s="383"/>
      <c r="O16" s="383"/>
      <c r="P16" s="383"/>
      <c r="Q16" s="384"/>
      <c r="R16" s="40"/>
      <c r="S16" s="3"/>
    </row>
    <row r="17" spans="2:19" ht="17.25" thickBot="1" x14ac:dyDescent="0.35">
      <c r="G17" s="28">
        <f>SUM(G13:G16)</f>
        <v>9.234</v>
      </c>
      <c r="L17" s="36"/>
      <c r="M17" s="36"/>
      <c r="N17" s="3"/>
      <c r="O17" s="3"/>
      <c r="P17" s="3"/>
      <c r="Q17" s="3"/>
      <c r="R17" s="3"/>
      <c r="S17" s="3"/>
    </row>
    <row r="18" spans="2:19" ht="17.25" thickBot="1" x14ac:dyDescent="0.35">
      <c r="L18" s="26" t="s">
        <v>469</v>
      </c>
      <c r="M18" s="26" t="s">
        <v>470</v>
      </c>
      <c r="N18" s="26" t="s">
        <v>447</v>
      </c>
      <c r="O18" s="26" t="s">
        <v>448</v>
      </c>
      <c r="P18" s="26" t="s">
        <v>318</v>
      </c>
      <c r="Q18" s="3"/>
      <c r="R18" s="11" t="s">
        <v>449</v>
      </c>
      <c r="S18" s="27" t="s">
        <v>450</v>
      </c>
    </row>
    <row r="19" spans="2:19" ht="17.25" thickBot="1" x14ac:dyDescent="0.35">
      <c r="B19" s="2" t="s">
        <v>441</v>
      </c>
      <c r="C19" s="2" t="s">
        <v>442</v>
      </c>
      <c r="D19" s="2"/>
      <c r="E19" s="2"/>
      <c r="F19" s="2"/>
      <c r="G19" s="2" t="s">
        <v>443</v>
      </c>
      <c r="H19" s="2" t="s">
        <v>444</v>
      </c>
      <c r="I19" s="2" t="s">
        <v>445</v>
      </c>
      <c r="J19" s="2" t="s">
        <v>446</v>
      </c>
      <c r="L19" s="26"/>
      <c r="M19" s="29">
        <f>+G22</f>
        <v>3.2570000000000001</v>
      </c>
      <c r="N19" s="30"/>
      <c r="O19" s="30"/>
      <c r="P19" s="30"/>
      <c r="Q19" s="3"/>
      <c r="R19" s="12">
        <f>O25*M20</f>
        <v>0.8033933333333334</v>
      </c>
      <c r="S19" s="12">
        <f>PRODUCT(R19,$AC$9)</f>
        <v>0.575430475</v>
      </c>
    </row>
    <row r="20" spans="2:19" ht="17.25" thickBot="1" x14ac:dyDescent="0.35">
      <c r="B20" s="2" t="s">
        <v>473</v>
      </c>
      <c r="C20" s="4">
        <v>1.45</v>
      </c>
      <c r="D20" s="5"/>
      <c r="E20" s="6"/>
      <c r="F20" s="7"/>
      <c r="G20" s="4"/>
      <c r="H20" s="4"/>
      <c r="I20" s="4"/>
      <c r="J20" s="8">
        <v>3278</v>
      </c>
      <c r="L20" s="26"/>
      <c r="M20" s="29">
        <f>+M19/L23</f>
        <v>1.0856666666666668</v>
      </c>
      <c r="N20" s="29">
        <v>0</v>
      </c>
      <c r="O20" s="31"/>
      <c r="P20" s="31"/>
      <c r="Q20" s="3"/>
    </row>
    <row r="21" spans="2:19" ht="17.25" thickBot="1" x14ac:dyDescent="0.35">
      <c r="B21" s="2" t="s">
        <v>457</v>
      </c>
      <c r="C21" s="4">
        <v>1.45</v>
      </c>
      <c r="D21" s="8">
        <v>3278</v>
      </c>
      <c r="E21" s="9">
        <f>$H$21</f>
        <v>1.405</v>
      </c>
      <c r="F21" s="10">
        <v>0</v>
      </c>
      <c r="G21" s="4">
        <v>0</v>
      </c>
      <c r="H21" s="4">
        <v>1.405</v>
      </c>
      <c r="I21" s="4">
        <f>H21-E21</f>
        <v>0</v>
      </c>
      <c r="J21" s="4">
        <f>+$J$3+C21-H21</f>
        <v>3278.0449999999996</v>
      </c>
      <c r="L21" s="26">
        <v>1</v>
      </c>
      <c r="M21" s="26"/>
      <c r="N21" s="30"/>
      <c r="O21" s="31">
        <f>+I14</f>
        <v>0.32000000000000006</v>
      </c>
      <c r="P21" s="31"/>
      <c r="Q21" s="3"/>
    </row>
    <row r="22" spans="2:19" ht="17.25" thickBot="1" x14ac:dyDescent="0.35">
      <c r="B22" s="2" t="s">
        <v>458</v>
      </c>
      <c r="C22" s="4">
        <v>1.45</v>
      </c>
      <c r="D22" s="8">
        <v>3278</v>
      </c>
      <c r="E22" s="9">
        <f t="shared" ref="E22:E24" si="9">$H$21</f>
        <v>1.405</v>
      </c>
      <c r="F22" s="10">
        <f>+F21+G22</f>
        <v>3.2570000000000001</v>
      </c>
      <c r="G22" s="4">
        <v>3.2570000000000001</v>
      </c>
      <c r="H22" s="4">
        <v>1.58</v>
      </c>
      <c r="I22" s="4">
        <f>H22-E22</f>
        <v>0.17500000000000004</v>
      </c>
      <c r="J22" s="4">
        <f t="shared" ref="J22:J24" si="10">+$J$3+C22-H22</f>
        <v>3277.87</v>
      </c>
      <c r="L22" s="26">
        <v>2</v>
      </c>
      <c r="M22" s="26"/>
      <c r="N22" s="30"/>
      <c r="O22" s="31"/>
      <c r="P22" s="31">
        <f>I15</f>
        <v>0.41999999999999993</v>
      </c>
      <c r="Q22" s="3"/>
    </row>
    <row r="23" spans="2:19" ht="17.25" thickBot="1" x14ac:dyDescent="0.35">
      <c r="B23" s="2" t="s">
        <v>459</v>
      </c>
      <c r="C23" s="4">
        <v>1.45</v>
      </c>
      <c r="D23" s="8">
        <v>3278</v>
      </c>
      <c r="E23" s="9">
        <f>$H$21</f>
        <v>1.405</v>
      </c>
      <c r="F23" s="10">
        <f t="shared" ref="F23:F24" si="11">+F22+G23</f>
        <v>6.5140000000000002</v>
      </c>
      <c r="G23" s="4">
        <v>3.2570000000000001</v>
      </c>
      <c r="H23" s="4">
        <v>1.56</v>
      </c>
      <c r="I23" s="4">
        <f>H23-E23</f>
        <v>0.15500000000000003</v>
      </c>
      <c r="J23" s="4">
        <f t="shared" si="10"/>
        <v>3277.89</v>
      </c>
      <c r="L23" s="26">
        <v>3</v>
      </c>
      <c r="M23" s="26"/>
      <c r="N23" s="30"/>
      <c r="O23" s="31"/>
      <c r="P23" s="31"/>
      <c r="Q23" s="3"/>
    </row>
    <row r="24" spans="2:19" ht="17.25" thickBot="1" x14ac:dyDescent="0.35">
      <c r="B24" s="2" t="s">
        <v>460</v>
      </c>
      <c r="C24" s="4">
        <v>1.45</v>
      </c>
      <c r="D24" s="8">
        <v>3278</v>
      </c>
      <c r="E24" s="24">
        <f t="shared" si="9"/>
        <v>1.405</v>
      </c>
      <c r="F24" s="25">
        <f t="shared" si="11"/>
        <v>9.7710000000000008</v>
      </c>
      <c r="G24" s="4">
        <v>3.2570000000000001</v>
      </c>
      <c r="H24" s="4">
        <f>H21</f>
        <v>1.405</v>
      </c>
      <c r="I24" s="4">
        <f>H24-E24</f>
        <v>0</v>
      </c>
      <c r="J24" s="4">
        <f t="shared" si="10"/>
        <v>3278.0449999999996</v>
      </c>
      <c r="L24" s="26"/>
      <c r="M24" s="26"/>
      <c r="N24" s="29">
        <v>0</v>
      </c>
      <c r="O24" s="31">
        <f>+O21</f>
        <v>0.32000000000000006</v>
      </c>
      <c r="P24" s="31">
        <f>+P22</f>
        <v>0.41999999999999993</v>
      </c>
      <c r="Q24" s="3"/>
    </row>
    <row r="25" spans="2:19" x14ac:dyDescent="0.3">
      <c r="G25" s="28">
        <f>SUM(G21:G24)</f>
        <v>9.7710000000000008</v>
      </c>
      <c r="L25" s="26" t="s">
        <v>472</v>
      </c>
      <c r="M25" s="26"/>
      <c r="N25" s="30"/>
      <c r="O25" s="368">
        <f>+O24+P24</f>
        <v>0.74</v>
      </c>
      <c r="P25" s="369"/>
      <c r="Q25" s="3"/>
    </row>
    <row r="26" spans="2:19" ht="17.25" thickBot="1" x14ac:dyDescent="0.35">
      <c r="L26" s="36"/>
      <c r="M26" s="36"/>
      <c r="N26" s="3"/>
      <c r="O26" s="3"/>
      <c r="P26" s="3"/>
      <c r="Q26" s="3"/>
      <c r="R26" s="3"/>
      <c r="S26" s="3"/>
    </row>
    <row r="27" spans="2:19" ht="17.25" thickBot="1" x14ac:dyDescent="0.35">
      <c r="B27" s="388"/>
      <c r="C27" s="388"/>
      <c r="D27" s="388"/>
      <c r="E27" s="388"/>
      <c r="L27" s="382" t="s">
        <v>464</v>
      </c>
      <c r="M27" s="383"/>
      <c r="N27" s="383"/>
      <c r="O27" s="383"/>
      <c r="P27" s="383"/>
      <c r="Q27" s="384"/>
      <c r="R27" s="40"/>
      <c r="S27" s="3"/>
    </row>
    <row r="28" spans="2:19" ht="17.25" thickBot="1" x14ac:dyDescent="0.35">
      <c r="B28" s="388"/>
      <c r="C28" s="388"/>
      <c r="D28" s="388"/>
      <c r="E28" s="388"/>
      <c r="L28" s="36"/>
      <c r="M28" s="36"/>
      <c r="N28" s="3"/>
      <c r="O28" s="3"/>
      <c r="P28" s="3"/>
      <c r="Q28" s="3"/>
      <c r="R28" s="3"/>
      <c r="S28" s="3"/>
    </row>
    <row r="29" spans="2:19" ht="17.25" thickBot="1" x14ac:dyDescent="0.35">
      <c r="L29" s="26" t="s">
        <v>469</v>
      </c>
      <c r="M29" s="26" t="s">
        <v>470</v>
      </c>
      <c r="N29" s="26" t="s">
        <v>447</v>
      </c>
      <c r="O29" s="26" t="s">
        <v>448</v>
      </c>
      <c r="P29" s="26" t="s">
        <v>318</v>
      </c>
      <c r="Q29" s="3"/>
      <c r="R29" s="11" t="s">
        <v>449</v>
      </c>
      <c r="S29" s="27" t="s">
        <v>450</v>
      </c>
    </row>
    <row r="30" spans="2:19" ht="17.25" thickBot="1" x14ac:dyDescent="0.35">
      <c r="L30" s="26"/>
      <c r="M30" s="29">
        <f>+G25</f>
        <v>9.7710000000000008</v>
      </c>
      <c r="N30" s="30"/>
      <c r="O30" s="30"/>
      <c r="P30" s="30"/>
      <c r="Q30" s="3"/>
      <c r="R30" s="12">
        <f>O36*M31</f>
        <v>1.0748100000000003</v>
      </c>
      <c r="S30" s="12">
        <f>PRODUCT(R30,$AC$9)</f>
        <v>0.76983266250000015</v>
      </c>
    </row>
    <row r="31" spans="2:19" x14ac:dyDescent="0.3">
      <c r="L31" s="26"/>
      <c r="M31" s="29">
        <f>+M30/L34</f>
        <v>3.2570000000000001</v>
      </c>
      <c r="N31" s="29">
        <v>0</v>
      </c>
      <c r="O31" s="31"/>
      <c r="P31" s="31"/>
      <c r="Q31" s="3"/>
    </row>
    <row r="32" spans="2:19" x14ac:dyDescent="0.3">
      <c r="L32" s="26">
        <v>1</v>
      </c>
      <c r="M32" s="26"/>
      <c r="N32" s="30"/>
      <c r="O32" s="31">
        <f>+I22</f>
        <v>0.17500000000000004</v>
      </c>
      <c r="P32" s="31"/>
      <c r="Q32" s="3"/>
    </row>
    <row r="33" spans="12:19" x14ac:dyDescent="0.3">
      <c r="L33" s="26">
        <v>2</v>
      </c>
      <c r="M33" s="26"/>
      <c r="N33" s="30"/>
      <c r="O33" s="31"/>
      <c r="P33" s="31">
        <f>I23</f>
        <v>0.15500000000000003</v>
      </c>
      <c r="Q33" s="3"/>
    </row>
    <row r="34" spans="12:19" x14ac:dyDescent="0.3">
      <c r="L34" s="26">
        <v>3</v>
      </c>
      <c r="M34" s="26"/>
      <c r="N34" s="30"/>
      <c r="O34" s="31"/>
      <c r="P34" s="31"/>
      <c r="Q34" s="3"/>
    </row>
    <row r="35" spans="12:19" x14ac:dyDescent="0.3">
      <c r="L35" s="26"/>
      <c r="N35" s="29">
        <v>0</v>
      </c>
      <c r="O35" s="31">
        <f>+O32</f>
        <v>0.17500000000000004</v>
      </c>
      <c r="P35" s="31">
        <f>+P33</f>
        <v>0.15500000000000003</v>
      </c>
      <c r="Q35" s="3"/>
    </row>
    <row r="36" spans="12:19" x14ac:dyDescent="0.3">
      <c r="L36" s="26" t="s">
        <v>472</v>
      </c>
      <c r="M36" s="26"/>
      <c r="N36" s="30"/>
      <c r="O36" s="368">
        <f>+O35+P35</f>
        <v>0.33000000000000007</v>
      </c>
      <c r="P36" s="369"/>
      <c r="Q36" s="3"/>
    </row>
    <row r="37" spans="12:19" x14ac:dyDescent="0.3">
      <c r="L37" s="3"/>
      <c r="M37" s="3"/>
      <c r="N37" s="3"/>
      <c r="O37" s="39"/>
      <c r="P37" s="39"/>
      <c r="Q37" s="3"/>
      <c r="R37" s="13"/>
      <c r="S37" s="13"/>
    </row>
    <row r="38" spans="12:19" x14ac:dyDescent="0.3">
      <c r="L38" s="3"/>
      <c r="M38" s="3"/>
      <c r="N38" s="3"/>
      <c r="O38" s="3"/>
      <c r="P38" s="3"/>
      <c r="Q38" s="3"/>
      <c r="R38" s="3"/>
      <c r="S38" s="3"/>
    </row>
    <row r="39" spans="12:19" x14ac:dyDescent="0.3">
      <c r="L39" s="390" t="s">
        <v>465</v>
      </c>
      <c r="M39" s="391"/>
      <c r="N39" s="391"/>
      <c r="O39" s="391"/>
      <c r="P39" s="391"/>
      <c r="Q39" s="392"/>
      <c r="R39" s="30">
        <f>+AVERAGE(R8,R30,R19)</f>
        <v>1.6868677777777779</v>
      </c>
      <c r="S39" s="30"/>
    </row>
    <row r="40" spans="12:19" x14ac:dyDescent="0.3">
      <c r="L40" s="393" t="s">
        <v>476</v>
      </c>
      <c r="M40" s="394"/>
      <c r="N40" s="394"/>
      <c r="O40" s="394"/>
      <c r="P40" s="394"/>
      <c r="Q40" s="395"/>
      <c r="R40" s="396">
        <f>PRODUCT(R39,AC9)</f>
        <v>1.2082190458333333</v>
      </c>
      <c r="S40" s="397"/>
    </row>
    <row r="41" spans="12:19" x14ac:dyDescent="0.3">
      <c r="L41" s="398" t="s">
        <v>475</v>
      </c>
      <c r="M41" s="398"/>
      <c r="N41" s="398"/>
      <c r="O41" s="398"/>
      <c r="P41" s="398"/>
      <c r="Q41" s="398"/>
      <c r="R41" s="399">
        <f>PRODUCT(R39,AB9)*100</f>
        <v>161.09587277777777</v>
      </c>
      <c r="S41" s="399"/>
    </row>
    <row r="42" spans="12:19" x14ac:dyDescent="0.3">
      <c r="L42" s="385" t="s">
        <v>474</v>
      </c>
      <c r="M42" s="385"/>
      <c r="N42" s="385"/>
      <c r="O42" s="385"/>
      <c r="P42" s="385"/>
      <c r="Q42" s="385"/>
      <c r="R42" s="386">
        <f>AVERAGE(R40,R41)</f>
        <v>81.152045911805558</v>
      </c>
      <c r="S42" s="387"/>
    </row>
    <row r="43" spans="12:19" x14ac:dyDescent="0.3">
      <c r="M43" s="389" t="s">
        <v>477</v>
      </c>
      <c r="N43" s="389"/>
      <c r="O43" s="389"/>
      <c r="P43" s="389"/>
      <c r="Q43" s="389"/>
      <c r="R43" s="389">
        <f>(R42/100)*10</f>
        <v>8.1152045911805555</v>
      </c>
      <c r="S43" s="389"/>
    </row>
    <row r="44" spans="12:19" x14ac:dyDescent="0.3">
      <c r="L44" s="370"/>
      <c r="M44" s="371"/>
      <c r="N44" s="371"/>
      <c r="O44" s="371"/>
      <c r="P44" s="371"/>
      <c r="Q44" s="371"/>
      <c r="R44" s="3"/>
      <c r="S44" s="3"/>
    </row>
  </sheetData>
  <mergeCells count="19">
    <mergeCell ref="B27:E28"/>
    <mergeCell ref="M43:Q43"/>
    <mergeCell ref="R43:S43"/>
    <mergeCell ref="L27:Q27"/>
    <mergeCell ref="O36:P36"/>
    <mergeCell ref="L39:Q39"/>
    <mergeCell ref="L40:Q40"/>
    <mergeCell ref="R40:S40"/>
    <mergeCell ref="L41:Q41"/>
    <mergeCell ref="R41:S41"/>
    <mergeCell ref="O25:P25"/>
    <mergeCell ref="L44:Q44"/>
    <mergeCell ref="L2:Q3"/>
    <mergeCell ref="U2:AC2"/>
    <mergeCell ref="L5:Q5"/>
    <mergeCell ref="O14:P14"/>
    <mergeCell ref="L16:Q16"/>
    <mergeCell ref="L42:Q42"/>
    <mergeCell ref="R42:S4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665"/>
  <sheetViews>
    <sheetView tabSelected="1" zoomScaleNormal="100" zoomScaleSheetLayoutView="100" workbookViewId="0">
      <selection activeCell="G6" sqref="G6"/>
    </sheetView>
  </sheetViews>
  <sheetFormatPr baseColWidth="10" defaultRowHeight="16.5" x14ac:dyDescent="0.3"/>
  <cols>
    <col min="1" max="1" width="8.375" style="68" customWidth="1"/>
    <col min="2" max="2" width="3.25" style="68" customWidth="1"/>
    <col min="3" max="3" width="11" style="68" customWidth="1"/>
    <col min="4" max="4" width="12" style="68" bestFit="1" customWidth="1"/>
    <col min="5" max="5" width="11" style="68"/>
    <col min="6" max="6" width="11.125" style="68" customWidth="1"/>
    <col min="7" max="7" width="12.125" style="68" bestFit="1" customWidth="1"/>
    <col min="8" max="8" width="11.125" style="68" bestFit="1" customWidth="1"/>
    <col min="9" max="16384" width="11" style="68"/>
  </cols>
  <sheetData>
    <row r="1" spans="2:24" x14ac:dyDescent="0.3"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2:24" ht="15.75" customHeight="1" thickBot="1" x14ac:dyDescent="0.35">
      <c r="B2" s="403" t="s">
        <v>103</v>
      </c>
      <c r="C2" s="403"/>
      <c r="D2" s="403"/>
      <c r="E2" s="403"/>
      <c r="F2" s="403"/>
      <c r="G2" s="403"/>
      <c r="H2" s="403"/>
      <c r="I2" s="403"/>
      <c r="J2" s="67"/>
      <c r="K2" s="67"/>
      <c r="L2" s="67"/>
    </row>
    <row r="3" spans="2:24" x14ac:dyDescent="0.3">
      <c r="B3" s="403"/>
      <c r="C3" s="403"/>
      <c r="D3" s="403"/>
      <c r="E3" s="403"/>
      <c r="F3" s="403"/>
      <c r="G3" s="403"/>
      <c r="H3" s="403"/>
      <c r="I3" s="403"/>
      <c r="J3" s="67"/>
      <c r="K3" s="338"/>
      <c r="L3" s="339"/>
      <c r="M3" s="340"/>
      <c r="N3" s="340"/>
      <c r="O3" s="340"/>
      <c r="P3" s="340"/>
      <c r="Q3" s="340"/>
      <c r="R3" s="340"/>
      <c r="S3" s="340"/>
      <c r="T3" s="341"/>
    </row>
    <row r="4" spans="2:24" x14ac:dyDescent="0.3">
      <c r="B4" s="67"/>
      <c r="C4" s="67"/>
      <c r="D4" s="67"/>
      <c r="E4" s="67"/>
      <c r="F4" s="67"/>
      <c r="G4" s="67"/>
      <c r="H4" s="67"/>
      <c r="I4" s="67"/>
      <c r="J4" s="67"/>
      <c r="K4" s="342"/>
      <c r="L4" s="343" t="s">
        <v>489</v>
      </c>
      <c r="M4" s="344"/>
      <c r="N4" s="344"/>
      <c r="O4" s="344"/>
      <c r="P4" s="344"/>
      <c r="Q4" s="344"/>
      <c r="R4" s="343" t="s">
        <v>531</v>
      </c>
      <c r="S4" s="344"/>
      <c r="T4" s="345"/>
    </row>
    <row r="5" spans="2:24" ht="15" customHeight="1" x14ac:dyDescent="0.3">
      <c r="C5" s="104"/>
      <c r="D5" s="104"/>
      <c r="E5" s="104"/>
      <c r="F5" s="104"/>
      <c r="G5" s="105" t="s">
        <v>6</v>
      </c>
      <c r="H5" s="104"/>
      <c r="I5" s="67"/>
      <c r="K5" s="342"/>
      <c r="L5" s="346"/>
      <c r="M5" s="347" t="s">
        <v>3</v>
      </c>
      <c r="N5" s="346"/>
      <c r="O5" s="346"/>
      <c r="P5" s="348"/>
      <c r="Q5" s="346"/>
      <c r="R5" s="346"/>
      <c r="S5" s="344"/>
      <c r="T5" s="345"/>
    </row>
    <row r="6" spans="2:24" x14ac:dyDescent="0.3">
      <c r="B6" s="106">
        <v>1</v>
      </c>
      <c r="C6" s="400" t="s">
        <v>7</v>
      </c>
      <c r="D6" s="400"/>
      <c r="E6" s="400"/>
      <c r="F6" s="108" t="s">
        <v>8</v>
      </c>
      <c r="G6" s="109">
        <f>'CALCULO DE CAUDAL'!R41</f>
        <v>161.09587277777777</v>
      </c>
      <c r="H6" s="110" t="s">
        <v>9</v>
      </c>
      <c r="I6" s="67"/>
      <c r="J6" s="67"/>
      <c r="K6" s="342"/>
      <c r="L6" s="346"/>
      <c r="M6" s="346"/>
      <c r="N6" s="346"/>
      <c r="O6" s="346"/>
      <c r="P6" s="348"/>
      <c r="Q6" s="346"/>
      <c r="R6" s="346"/>
      <c r="S6" s="349"/>
      <c r="T6" s="350"/>
      <c r="U6" s="69"/>
      <c r="V6" s="69"/>
      <c r="W6" s="69"/>
      <c r="X6" s="69"/>
    </row>
    <row r="7" spans="2:24" x14ac:dyDescent="0.3">
      <c r="B7" s="106">
        <v>2</v>
      </c>
      <c r="C7" s="400" t="s">
        <v>10</v>
      </c>
      <c r="D7" s="400"/>
      <c r="E7" s="400"/>
      <c r="F7" s="108" t="s">
        <v>8</v>
      </c>
      <c r="G7" s="109">
        <f>'CALCULO DE CAUDAL'!R42</f>
        <v>81.152045911805558</v>
      </c>
      <c r="H7" s="110" t="s">
        <v>9</v>
      </c>
      <c r="I7" s="67"/>
      <c r="J7" s="67"/>
      <c r="K7" s="342"/>
      <c r="L7" s="346"/>
      <c r="M7" s="346"/>
      <c r="N7" s="346"/>
      <c r="O7" s="346"/>
      <c r="P7" s="348"/>
      <c r="Q7" s="346"/>
      <c r="R7" s="346"/>
      <c r="S7" s="344"/>
      <c r="T7" s="345"/>
    </row>
    <row r="8" spans="2:24" x14ac:dyDescent="0.3">
      <c r="B8" s="106">
        <v>3</v>
      </c>
      <c r="C8" s="400" t="s">
        <v>11</v>
      </c>
      <c r="D8" s="400"/>
      <c r="E8" s="400"/>
      <c r="F8" s="108" t="s">
        <v>8</v>
      </c>
      <c r="G8" s="109">
        <f>'CALCULO DE CAUDAL'!R40</f>
        <v>1.2082190458333333</v>
      </c>
      <c r="H8" s="110" t="s">
        <v>9</v>
      </c>
      <c r="I8" s="67"/>
      <c r="J8" s="67"/>
      <c r="K8" s="351"/>
      <c r="L8" s="346"/>
      <c r="M8" s="346"/>
      <c r="N8" s="346"/>
      <c r="O8" s="346"/>
      <c r="P8" s="348"/>
      <c r="Q8" s="346"/>
      <c r="R8" s="346"/>
      <c r="S8" s="344"/>
      <c r="T8" s="345"/>
    </row>
    <row r="9" spans="2:24" x14ac:dyDescent="0.3">
      <c r="B9" s="106">
        <v>4</v>
      </c>
      <c r="C9" s="400" t="s">
        <v>12</v>
      </c>
      <c r="D9" s="400"/>
      <c r="E9" s="400"/>
      <c r="F9" s="108" t="s">
        <v>8</v>
      </c>
      <c r="G9" s="109">
        <v>0.26</v>
      </c>
      <c r="H9" s="110" t="s">
        <v>9</v>
      </c>
      <c r="I9" s="67"/>
      <c r="J9" s="67"/>
      <c r="K9" s="351"/>
      <c r="L9" s="346"/>
      <c r="M9" s="346"/>
      <c r="N9" s="346"/>
      <c r="O9" s="346"/>
      <c r="P9" s="348"/>
      <c r="Q9" s="346"/>
      <c r="R9" s="346"/>
      <c r="S9" s="344"/>
      <c r="T9" s="345"/>
    </row>
    <row r="10" spans="2:24" x14ac:dyDescent="0.3">
      <c r="B10" s="106">
        <v>5</v>
      </c>
      <c r="C10" s="400" t="s">
        <v>245</v>
      </c>
      <c r="D10" s="400"/>
      <c r="E10" s="400"/>
      <c r="F10" s="108" t="s">
        <v>8</v>
      </c>
      <c r="G10" s="109">
        <v>0.14000000000000001</v>
      </c>
      <c r="H10" s="110" t="s">
        <v>9</v>
      </c>
      <c r="I10" s="67"/>
      <c r="J10" s="67"/>
      <c r="K10" s="351"/>
      <c r="L10" s="346"/>
      <c r="M10" s="352">
        <f>D92</f>
        <v>1.2</v>
      </c>
      <c r="N10" s="346"/>
      <c r="O10" s="346"/>
      <c r="P10" s="348"/>
      <c r="Q10" s="346"/>
      <c r="R10" s="346"/>
      <c r="S10" s="344"/>
      <c r="T10" s="345"/>
    </row>
    <row r="11" spans="2:24" x14ac:dyDescent="0.3">
      <c r="B11" s="106">
        <v>6</v>
      </c>
      <c r="C11" s="400" t="s">
        <v>13</v>
      </c>
      <c r="D11" s="400"/>
      <c r="E11" s="400"/>
      <c r="F11" s="108" t="s">
        <v>14</v>
      </c>
      <c r="G11" s="109">
        <v>0.08</v>
      </c>
      <c r="H11" s="110"/>
      <c r="I11" s="67"/>
      <c r="J11" s="67"/>
      <c r="K11" s="351"/>
      <c r="L11" s="346"/>
      <c r="M11" s="346"/>
      <c r="N11" s="346"/>
      <c r="O11" s="346"/>
      <c r="P11" s="348"/>
      <c r="Q11" s="346"/>
      <c r="R11" s="346"/>
      <c r="S11" s="353" t="s">
        <v>530</v>
      </c>
      <c r="T11" s="345"/>
    </row>
    <row r="12" spans="2:24" x14ac:dyDescent="0.3">
      <c r="B12" s="106">
        <v>7</v>
      </c>
      <c r="C12" s="400" t="s">
        <v>15</v>
      </c>
      <c r="D12" s="400"/>
      <c r="E12" s="400"/>
      <c r="F12" s="108" t="s">
        <v>14</v>
      </c>
      <c r="G12" s="109">
        <v>2.849E-3</v>
      </c>
      <c r="H12" s="110"/>
      <c r="I12" s="67"/>
      <c r="J12" s="67"/>
      <c r="K12" s="354">
        <f>D105</f>
        <v>1.0999999999999999</v>
      </c>
      <c r="L12" s="355" t="s">
        <v>20</v>
      </c>
      <c r="M12" s="346"/>
      <c r="N12" s="356">
        <f>D93</f>
        <v>0.3</v>
      </c>
      <c r="O12" s="346"/>
      <c r="P12" s="348"/>
      <c r="Q12" s="346"/>
      <c r="R12" s="346"/>
      <c r="S12" s="344"/>
      <c r="T12" s="345"/>
    </row>
    <row r="13" spans="2:24" x14ac:dyDescent="0.3">
      <c r="B13" s="106">
        <v>8</v>
      </c>
      <c r="C13" s="400" t="s">
        <v>16</v>
      </c>
      <c r="D13" s="400"/>
      <c r="E13" s="400"/>
      <c r="F13" s="108" t="s">
        <v>17</v>
      </c>
      <c r="G13" s="109">
        <v>3.3000000000000002E-2</v>
      </c>
      <c r="H13" s="110"/>
      <c r="I13" s="67"/>
      <c r="J13" s="67"/>
      <c r="K13" s="351"/>
      <c r="L13" s="346"/>
      <c r="M13" s="346"/>
      <c r="N13" s="357" t="s">
        <v>20</v>
      </c>
      <c r="O13" s="346"/>
      <c r="P13" s="348"/>
      <c r="Q13" s="346"/>
      <c r="R13" s="346"/>
      <c r="S13" s="344"/>
      <c r="T13" s="358">
        <f>+K12</f>
        <v>1.0999999999999999</v>
      </c>
    </row>
    <row r="14" spans="2:24" x14ac:dyDescent="0.3">
      <c r="B14" s="106">
        <v>9</v>
      </c>
      <c r="C14" s="400" t="s">
        <v>18</v>
      </c>
      <c r="D14" s="400"/>
      <c r="E14" s="400"/>
      <c r="F14" s="108" t="s">
        <v>17</v>
      </c>
      <c r="G14" s="109">
        <v>1.4999999999999999E-2</v>
      </c>
      <c r="H14" s="110"/>
      <c r="I14" s="67"/>
      <c r="J14" s="67"/>
      <c r="K14" s="351"/>
      <c r="L14" s="346"/>
      <c r="M14" s="346"/>
      <c r="N14" s="346"/>
      <c r="O14" s="359">
        <f>N12+N15</f>
        <v>0.89999999999999991</v>
      </c>
      <c r="P14" s="360">
        <f>+O14</f>
        <v>0.89999999999999991</v>
      </c>
      <c r="Q14" s="355" t="s">
        <v>20</v>
      </c>
      <c r="R14" s="346"/>
      <c r="S14" s="344"/>
      <c r="T14" s="345"/>
    </row>
    <row r="15" spans="2:24" x14ac:dyDescent="0.3">
      <c r="B15" s="106">
        <v>10</v>
      </c>
      <c r="C15" s="400" t="s">
        <v>22</v>
      </c>
      <c r="D15" s="400"/>
      <c r="E15" s="400"/>
      <c r="F15" s="108" t="s">
        <v>23</v>
      </c>
      <c r="G15" s="109">
        <v>1.2</v>
      </c>
      <c r="H15" s="110"/>
      <c r="I15" s="67"/>
      <c r="J15" s="67"/>
      <c r="K15" s="351"/>
      <c r="L15" s="346"/>
      <c r="M15" s="346"/>
      <c r="N15" s="356">
        <f>D103</f>
        <v>0.6</v>
      </c>
      <c r="O15" s="361" t="s">
        <v>20</v>
      </c>
      <c r="P15" s="348"/>
      <c r="Q15" s="356">
        <f>+N15</f>
        <v>0.6</v>
      </c>
      <c r="R15" s="346"/>
      <c r="S15" s="344"/>
      <c r="T15" s="345"/>
    </row>
    <row r="16" spans="2:24" x14ac:dyDescent="0.3">
      <c r="B16" s="107">
        <v>11</v>
      </c>
      <c r="C16" s="400" t="s">
        <v>24</v>
      </c>
      <c r="D16" s="400"/>
      <c r="E16" s="400"/>
      <c r="F16" s="108" t="s">
        <v>25</v>
      </c>
      <c r="G16" s="109">
        <v>0.2</v>
      </c>
      <c r="H16" s="110"/>
      <c r="I16" s="67"/>
      <c r="J16" s="67"/>
      <c r="K16" s="351"/>
      <c r="L16" s="346"/>
      <c r="M16" s="346"/>
      <c r="N16" s="357" t="s">
        <v>20</v>
      </c>
      <c r="O16" s="346"/>
      <c r="P16" s="348"/>
      <c r="Q16" s="346"/>
      <c r="R16" s="346"/>
      <c r="S16" s="353" t="s">
        <v>529</v>
      </c>
      <c r="T16" s="345"/>
    </row>
    <row r="17" spans="1:20" x14ac:dyDescent="0.3">
      <c r="B17" s="107">
        <v>12</v>
      </c>
      <c r="C17" s="400" t="s">
        <v>26</v>
      </c>
      <c r="D17" s="400"/>
      <c r="E17" s="400"/>
      <c r="F17" s="108" t="s">
        <v>21</v>
      </c>
      <c r="G17" s="109">
        <v>0.75</v>
      </c>
      <c r="H17" s="110"/>
      <c r="I17" s="67"/>
      <c r="J17" s="67"/>
      <c r="K17" s="351"/>
      <c r="L17" s="346"/>
      <c r="M17" s="346"/>
      <c r="N17" s="346"/>
      <c r="O17" s="346"/>
      <c r="P17" s="346"/>
      <c r="Q17" s="344"/>
      <c r="R17" s="344"/>
      <c r="S17" s="344"/>
      <c r="T17" s="345"/>
    </row>
    <row r="18" spans="1:20" x14ac:dyDescent="0.3">
      <c r="B18" s="67"/>
      <c r="C18" s="67"/>
      <c r="D18" s="67"/>
      <c r="E18" s="67"/>
      <c r="F18" s="67"/>
      <c r="G18" s="67"/>
      <c r="H18" s="67"/>
      <c r="I18" s="67"/>
      <c r="J18" s="67"/>
      <c r="K18" s="351"/>
      <c r="L18" s="362"/>
      <c r="M18" s="362"/>
      <c r="N18" s="362"/>
      <c r="O18" s="344"/>
      <c r="P18" s="344"/>
      <c r="Q18" s="344"/>
      <c r="R18" s="344"/>
      <c r="S18" s="344"/>
      <c r="T18" s="345"/>
    </row>
    <row r="19" spans="1:20" x14ac:dyDescent="0.3">
      <c r="B19" s="67"/>
      <c r="C19" s="67"/>
      <c r="D19" s="67"/>
      <c r="E19" s="67"/>
      <c r="F19" s="67"/>
      <c r="G19" s="67"/>
      <c r="H19" s="67"/>
      <c r="I19" s="67"/>
      <c r="J19" s="67"/>
      <c r="K19" s="351"/>
      <c r="L19" s="344"/>
      <c r="M19" s="363" t="s">
        <v>3</v>
      </c>
      <c r="N19" s="344"/>
      <c r="O19" s="344"/>
      <c r="P19" s="344"/>
      <c r="Q19" s="344"/>
      <c r="R19" s="364"/>
      <c r="S19" s="344"/>
      <c r="T19" s="345"/>
    </row>
    <row r="20" spans="1:20" x14ac:dyDescent="0.3">
      <c r="A20" s="113" t="s">
        <v>490</v>
      </c>
      <c r="C20" s="104"/>
      <c r="D20" s="104"/>
      <c r="E20" s="104"/>
      <c r="F20" s="104"/>
      <c r="G20" s="104"/>
      <c r="H20" s="67"/>
      <c r="K20" s="351"/>
      <c r="L20" s="344"/>
      <c r="M20" s="344"/>
      <c r="N20" s="344"/>
      <c r="O20" s="344"/>
      <c r="P20" s="344"/>
      <c r="Q20" s="344"/>
      <c r="R20" s="344"/>
      <c r="S20" s="344"/>
      <c r="T20" s="345"/>
    </row>
    <row r="21" spans="1:20" ht="17.25" thickBot="1" x14ac:dyDescent="0.35">
      <c r="B21" s="70"/>
      <c r="C21" s="70" t="s">
        <v>28</v>
      </c>
      <c r="D21" s="70"/>
      <c r="E21" s="70"/>
      <c r="F21" s="70"/>
      <c r="G21" s="70"/>
      <c r="H21" s="67"/>
      <c r="I21" s="67"/>
      <c r="J21" s="67"/>
      <c r="K21" s="365"/>
      <c r="L21" s="366"/>
      <c r="M21" s="366"/>
      <c r="N21" s="366"/>
      <c r="O21" s="366"/>
      <c r="P21" s="366"/>
      <c r="Q21" s="366"/>
      <c r="R21" s="366"/>
      <c r="S21" s="366"/>
      <c r="T21" s="367"/>
    </row>
    <row r="22" spans="1:20" x14ac:dyDescent="0.3">
      <c r="B22" s="70"/>
      <c r="C22" s="71" t="s">
        <v>29</v>
      </c>
      <c r="D22" s="70"/>
      <c r="E22" s="70"/>
      <c r="F22" s="70"/>
      <c r="G22" s="70"/>
      <c r="H22" s="67"/>
      <c r="I22" s="67"/>
      <c r="J22" s="67"/>
    </row>
    <row r="23" spans="1:20" x14ac:dyDescent="0.3">
      <c r="B23" s="70"/>
      <c r="C23" s="70"/>
      <c r="D23" s="70"/>
      <c r="E23" s="70"/>
      <c r="F23" s="70"/>
      <c r="G23" s="70"/>
      <c r="H23" s="67"/>
      <c r="I23" s="67"/>
      <c r="J23" s="67"/>
    </row>
    <row r="24" spans="1:20" x14ac:dyDescent="0.3">
      <c r="B24" s="70"/>
      <c r="C24" s="70"/>
      <c r="D24" s="70"/>
      <c r="E24" s="70"/>
      <c r="F24" s="70"/>
      <c r="G24" s="70"/>
      <c r="H24" s="67"/>
      <c r="I24" s="67"/>
      <c r="J24" s="67"/>
    </row>
    <row r="25" spans="1:20" x14ac:dyDescent="0.3">
      <c r="B25" s="70"/>
      <c r="C25" s="70"/>
      <c r="D25" s="70"/>
      <c r="E25" s="70"/>
      <c r="F25" s="70"/>
      <c r="G25" s="70"/>
      <c r="H25" s="67"/>
      <c r="I25" s="67"/>
      <c r="J25" s="67"/>
    </row>
    <row r="26" spans="1:20" x14ac:dyDescent="0.3">
      <c r="B26" s="70"/>
      <c r="C26" s="108" t="s">
        <v>30</v>
      </c>
      <c r="D26" s="109">
        <f>1.81*(G6*G15/G16)^(0.5)</f>
        <v>56.272525559491875</v>
      </c>
      <c r="E26" s="110" t="s">
        <v>20</v>
      </c>
      <c r="F26" s="108"/>
      <c r="G26" s="70"/>
      <c r="H26" s="67"/>
      <c r="I26" s="67"/>
      <c r="J26" s="72"/>
    </row>
    <row r="27" spans="1:20" x14ac:dyDescent="0.3">
      <c r="B27" s="70"/>
      <c r="C27" s="70"/>
      <c r="D27" s="70"/>
      <c r="E27" s="70"/>
      <c r="F27" s="70"/>
      <c r="G27" s="70"/>
      <c r="H27" s="67"/>
      <c r="I27" s="67"/>
      <c r="J27" s="67"/>
    </row>
    <row r="28" spans="1:20" x14ac:dyDescent="0.3">
      <c r="B28" s="70"/>
      <c r="C28" s="71" t="s">
        <v>31</v>
      </c>
      <c r="D28" s="70"/>
      <c r="E28" s="70"/>
      <c r="F28" s="70"/>
      <c r="G28" s="70"/>
      <c r="H28" s="67"/>
      <c r="I28" s="67"/>
      <c r="J28" s="67"/>
    </row>
    <row r="29" spans="1:20" x14ac:dyDescent="0.3">
      <c r="B29" s="70"/>
      <c r="C29" s="70"/>
      <c r="D29" s="70"/>
      <c r="E29" s="70"/>
      <c r="F29" s="70"/>
      <c r="G29" s="70"/>
      <c r="H29" s="67"/>
      <c r="I29" s="67"/>
      <c r="J29" s="67"/>
    </row>
    <row r="30" spans="1:20" x14ac:dyDescent="0.3">
      <c r="B30" s="70"/>
      <c r="C30" s="70"/>
      <c r="D30" s="70"/>
      <c r="E30" s="70"/>
      <c r="F30" s="70"/>
      <c r="G30" s="70"/>
      <c r="H30" s="67"/>
      <c r="I30" s="67"/>
      <c r="J30" s="67"/>
    </row>
    <row r="31" spans="1:20" x14ac:dyDescent="0.3">
      <c r="B31" s="70"/>
      <c r="C31" s="70"/>
      <c r="D31" s="70"/>
      <c r="E31" s="70"/>
      <c r="F31" s="70"/>
      <c r="G31" s="70"/>
      <c r="H31" s="67"/>
      <c r="I31" s="67"/>
      <c r="J31" s="67"/>
    </row>
    <row r="32" spans="1:20" x14ac:dyDescent="0.3">
      <c r="B32" s="70"/>
      <c r="C32" s="108" t="s">
        <v>30</v>
      </c>
      <c r="D32" s="109">
        <f>G17*(G6^(0.5))/(G11^(1/5))</f>
        <v>15.775585001574422</v>
      </c>
      <c r="E32" s="110" t="s">
        <v>20</v>
      </c>
      <c r="F32" s="70"/>
      <c r="G32" s="70"/>
      <c r="H32" s="67"/>
      <c r="I32" s="67"/>
      <c r="J32" s="67"/>
    </row>
    <row r="33" spans="2:10" x14ac:dyDescent="0.3">
      <c r="B33" s="70"/>
      <c r="C33" s="70"/>
      <c r="D33" s="70"/>
      <c r="E33" s="70"/>
      <c r="F33" s="70"/>
      <c r="G33" s="70"/>
      <c r="H33" s="67"/>
      <c r="I33" s="67"/>
      <c r="J33" s="67"/>
    </row>
    <row r="34" spans="2:10" x14ac:dyDescent="0.3">
      <c r="B34" s="70"/>
      <c r="C34" s="71" t="s">
        <v>32</v>
      </c>
      <c r="D34" s="70"/>
      <c r="E34" s="70"/>
      <c r="F34" s="70"/>
      <c r="G34" s="70"/>
      <c r="H34" s="67"/>
      <c r="I34" s="67"/>
      <c r="J34" s="67"/>
    </row>
    <row r="35" spans="2:10" x14ac:dyDescent="0.3">
      <c r="B35" s="70"/>
      <c r="C35" s="70"/>
      <c r="D35" s="70"/>
      <c r="E35" s="70"/>
      <c r="F35" s="70"/>
      <c r="G35" s="70"/>
      <c r="H35" s="67"/>
      <c r="I35" s="67"/>
      <c r="J35" s="67"/>
    </row>
    <row r="36" spans="2:10" x14ac:dyDescent="0.3">
      <c r="B36" s="70"/>
      <c r="C36" s="70"/>
      <c r="D36" s="70"/>
      <c r="E36" s="70"/>
      <c r="F36" s="70"/>
      <c r="G36" s="70"/>
      <c r="H36" s="67"/>
      <c r="I36" s="67"/>
      <c r="J36" s="67"/>
    </row>
    <row r="37" spans="2:10" x14ac:dyDescent="0.3">
      <c r="B37" s="70"/>
      <c r="C37" s="108" t="s">
        <v>30</v>
      </c>
      <c r="D37" s="109">
        <f>2.45*G6^(0.5)</f>
        <v>31.096269492474676</v>
      </c>
      <c r="E37" s="110" t="s">
        <v>20</v>
      </c>
      <c r="F37" s="70"/>
      <c r="G37" s="70"/>
      <c r="H37" s="67"/>
      <c r="I37" s="67"/>
      <c r="J37" s="67"/>
    </row>
    <row r="38" spans="2:10" x14ac:dyDescent="0.3">
      <c r="B38" s="70"/>
      <c r="C38" s="70"/>
      <c r="D38" s="70"/>
      <c r="E38" s="70"/>
      <c r="F38" s="70"/>
      <c r="G38" s="70"/>
      <c r="H38" s="67"/>
      <c r="I38" s="67"/>
      <c r="J38" s="67"/>
    </row>
    <row r="39" spans="2:10" x14ac:dyDescent="0.3">
      <c r="B39" s="70"/>
      <c r="C39" s="70" t="s">
        <v>33</v>
      </c>
      <c r="D39" s="70"/>
      <c r="E39" s="70"/>
      <c r="F39" s="70"/>
      <c r="G39" s="70"/>
      <c r="H39" s="67"/>
      <c r="I39" s="67"/>
      <c r="J39" s="67"/>
    </row>
    <row r="40" spans="2:10" x14ac:dyDescent="0.3">
      <c r="B40" s="70"/>
      <c r="C40" s="108" t="s">
        <v>34</v>
      </c>
      <c r="D40" s="70" t="s">
        <v>35</v>
      </c>
      <c r="E40" s="70"/>
      <c r="F40" s="70"/>
      <c r="G40" s="70"/>
      <c r="H40" s="67"/>
      <c r="I40" s="67"/>
      <c r="J40" s="67"/>
    </row>
    <row r="41" spans="2:10" x14ac:dyDescent="0.3">
      <c r="B41" s="70"/>
      <c r="C41" s="108" t="s">
        <v>36</v>
      </c>
      <c r="D41" s="73" t="s">
        <v>37</v>
      </c>
      <c r="E41" s="73"/>
      <c r="F41" s="70"/>
      <c r="G41" s="70"/>
      <c r="H41" s="67"/>
      <c r="I41" s="67"/>
      <c r="J41" s="67"/>
    </row>
    <row r="42" spans="2:10" x14ac:dyDescent="0.3">
      <c r="B42" s="70"/>
      <c r="C42" s="108" t="s">
        <v>38</v>
      </c>
      <c r="D42" s="70" t="s">
        <v>39</v>
      </c>
      <c r="E42" s="70"/>
      <c r="F42" s="70"/>
      <c r="G42" s="70"/>
      <c r="H42" s="67"/>
      <c r="I42" s="67"/>
      <c r="J42" s="67"/>
    </row>
    <row r="43" spans="2:10" x14ac:dyDescent="0.3">
      <c r="B43" s="70"/>
      <c r="C43" s="108" t="s">
        <v>40</v>
      </c>
      <c r="D43" s="70" t="s">
        <v>41</v>
      </c>
      <c r="E43" s="70"/>
      <c r="F43" s="70"/>
      <c r="G43" s="70"/>
      <c r="H43" s="67"/>
      <c r="I43" s="67"/>
      <c r="J43" s="67"/>
    </row>
    <row r="44" spans="2:10" x14ac:dyDescent="0.3">
      <c r="B44" s="70"/>
      <c r="C44" s="108" t="s">
        <v>0</v>
      </c>
      <c r="D44" s="70" t="s">
        <v>42</v>
      </c>
      <c r="E44" s="70"/>
      <c r="F44" s="70"/>
      <c r="G44" s="70"/>
      <c r="H44" s="67"/>
      <c r="I44" s="67"/>
      <c r="J44" s="67"/>
    </row>
    <row r="45" spans="2:10" x14ac:dyDescent="0.3">
      <c r="B45" s="70"/>
      <c r="C45" s="108" t="s">
        <v>43</v>
      </c>
      <c r="D45" s="70" t="s">
        <v>44</v>
      </c>
      <c r="E45" s="70"/>
      <c r="F45" s="70"/>
      <c r="G45" s="70"/>
      <c r="H45" s="67"/>
      <c r="I45" s="67"/>
      <c r="J45" s="67"/>
    </row>
    <row r="46" spans="2:10" x14ac:dyDescent="0.3">
      <c r="B46" s="70"/>
      <c r="C46" s="70" t="s">
        <v>45</v>
      </c>
      <c r="D46" s="70"/>
      <c r="E46" s="70"/>
      <c r="F46" s="70"/>
      <c r="G46" s="70"/>
      <c r="H46" s="67"/>
      <c r="I46" s="67"/>
      <c r="J46" s="67"/>
    </row>
    <row r="47" spans="2:10" x14ac:dyDescent="0.3">
      <c r="B47" s="70"/>
      <c r="C47" s="70"/>
      <c r="D47" s="70"/>
      <c r="E47" s="70"/>
      <c r="F47" s="70"/>
      <c r="G47" s="70"/>
      <c r="H47" s="67"/>
      <c r="I47" s="67"/>
      <c r="J47" s="67"/>
    </row>
    <row r="48" spans="2:10" x14ac:dyDescent="0.3">
      <c r="B48" s="70"/>
      <c r="C48" s="108" t="s">
        <v>30</v>
      </c>
      <c r="D48" s="109">
        <f>INT((D26+D32+D37)/3)</f>
        <v>34</v>
      </c>
      <c r="E48" s="110" t="s">
        <v>252</v>
      </c>
      <c r="F48" s="70"/>
      <c r="G48" s="70"/>
      <c r="H48" s="67"/>
      <c r="I48" s="67"/>
      <c r="J48" s="67"/>
    </row>
    <row r="49" spans="1:12" x14ac:dyDescent="0.3">
      <c r="B49" s="70"/>
      <c r="C49" s="108" t="s">
        <v>30</v>
      </c>
      <c r="D49" s="109">
        <f>AVERAGE('CALCULO DE CAUDAL'!G8,'CALCULO DE CAUDAL'!G17,'CALCULO DE CAUDAL'!G25)</f>
        <v>9.4550000000000001</v>
      </c>
      <c r="E49" s="110" t="s">
        <v>20</v>
      </c>
      <c r="F49" s="112" t="s">
        <v>290</v>
      </c>
      <c r="G49" s="111"/>
      <c r="H49" s="67"/>
      <c r="I49" s="67"/>
      <c r="J49" s="67"/>
    </row>
    <row r="50" spans="1:12" x14ac:dyDescent="0.3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</row>
    <row r="51" spans="1:12" x14ac:dyDescent="0.3">
      <c r="A51" s="113" t="s">
        <v>491</v>
      </c>
      <c r="C51" s="104"/>
      <c r="D51" s="104"/>
      <c r="E51" s="104"/>
      <c r="F51" s="104"/>
      <c r="G51" s="104"/>
      <c r="H51" s="104"/>
      <c r="I51" s="67"/>
      <c r="J51" s="67"/>
      <c r="K51" s="67"/>
    </row>
    <row r="52" spans="1:12" x14ac:dyDescent="0.3">
      <c r="A52" s="78"/>
      <c r="B52" s="74"/>
      <c r="C52" s="74"/>
      <c r="D52" s="74"/>
      <c r="E52" s="74"/>
      <c r="F52" s="74"/>
      <c r="G52" s="74"/>
      <c r="H52" s="67"/>
      <c r="I52" s="67"/>
      <c r="J52" s="67"/>
      <c r="K52" s="67"/>
    </row>
    <row r="53" spans="1:12" x14ac:dyDescent="0.3">
      <c r="A53" s="78"/>
      <c r="B53" s="74"/>
      <c r="C53" s="74"/>
      <c r="D53" s="74"/>
      <c r="E53" s="108" t="s">
        <v>36</v>
      </c>
      <c r="F53" s="70" t="s">
        <v>37</v>
      </c>
      <c r="H53" s="67"/>
      <c r="I53" s="67"/>
      <c r="J53" s="67"/>
      <c r="K53" s="67"/>
    </row>
    <row r="54" spans="1:12" x14ac:dyDescent="0.3">
      <c r="A54" s="78"/>
      <c r="B54" s="74"/>
      <c r="C54" s="74"/>
      <c r="D54" s="74"/>
      <c r="E54" s="74"/>
      <c r="F54" s="74"/>
      <c r="G54" s="74"/>
      <c r="H54" s="67"/>
      <c r="I54" s="67"/>
      <c r="J54" s="67"/>
      <c r="K54" s="67"/>
    </row>
    <row r="55" spans="1:12" x14ac:dyDescent="0.3">
      <c r="A55" s="78"/>
      <c r="B55" s="74"/>
      <c r="C55" s="114" t="s">
        <v>47</v>
      </c>
      <c r="D55" s="115" t="s">
        <v>48</v>
      </c>
      <c r="E55" s="74"/>
      <c r="F55" s="74"/>
      <c r="G55" s="74"/>
      <c r="H55" s="67"/>
      <c r="I55" s="67"/>
      <c r="J55" s="67"/>
      <c r="K55" s="67"/>
    </row>
    <row r="56" spans="1:12" x14ac:dyDescent="0.3">
      <c r="A56" s="78"/>
      <c r="B56" s="74"/>
      <c r="C56" s="118" t="s">
        <v>49</v>
      </c>
      <c r="D56" s="119" t="s">
        <v>50</v>
      </c>
      <c r="E56" s="74"/>
      <c r="F56" s="74"/>
      <c r="G56" s="74"/>
      <c r="H56" s="67"/>
      <c r="I56" s="67"/>
      <c r="J56" s="67"/>
      <c r="K56" s="67"/>
    </row>
    <row r="57" spans="1:12" x14ac:dyDescent="0.3">
      <c r="A57" s="78"/>
      <c r="B57" s="74"/>
      <c r="C57" s="116" t="s">
        <v>51</v>
      </c>
      <c r="D57" s="117" t="s">
        <v>52</v>
      </c>
      <c r="E57" s="74"/>
      <c r="F57" s="74"/>
      <c r="G57" s="74"/>
      <c r="H57" s="67"/>
      <c r="I57" s="67"/>
      <c r="J57" s="67"/>
      <c r="K57" s="67"/>
    </row>
    <row r="58" spans="1:12" x14ac:dyDescent="0.3">
      <c r="A58" s="78"/>
      <c r="B58" s="74"/>
      <c r="C58" s="74"/>
      <c r="D58" s="74"/>
      <c r="E58" s="74"/>
      <c r="F58" s="74"/>
      <c r="G58" s="74"/>
      <c r="H58" s="67"/>
      <c r="I58" s="67"/>
      <c r="J58" s="67"/>
      <c r="K58" s="67"/>
    </row>
    <row r="59" spans="1:12" x14ac:dyDescent="0.3">
      <c r="A59" s="78"/>
      <c r="B59" s="74"/>
      <c r="C59" s="74"/>
      <c r="D59" s="74"/>
      <c r="E59" s="74"/>
      <c r="F59" s="74"/>
      <c r="G59" s="74"/>
      <c r="H59" s="67"/>
      <c r="I59" s="67"/>
      <c r="J59" s="67"/>
      <c r="K59" s="67"/>
    </row>
    <row r="60" spans="1:12" x14ac:dyDescent="0.3">
      <c r="A60" s="78"/>
      <c r="B60" s="74"/>
      <c r="C60" s="74"/>
      <c r="D60" s="74"/>
      <c r="E60" s="74"/>
      <c r="F60" s="74"/>
      <c r="G60" s="74"/>
      <c r="H60" s="67"/>
      <c r="I60" s="67"/>
      <c r="J60" s="67"/>
      <c r="K60" s="67"/>
    </row>
    <row r="61" spans="1:12" x14ac:dyDescent="0.3">
      <c r="A61" s="78"/>
      <c r="B61" s="74"/>
      <c r="C61" s="74" t="s">
        <v>53</v>
      </c>
      <c r="D61" s="74"/>
      <c r="E61" s="74"/>
      <c r="F61" s="74"/>
      <c r="G61" s="74"/>
      <c r="H61" s="67"/>
      <c r="I61" s="67"/>
      <c r="J61" s="67"/>
      <c r="K61" s="67"/>
    </row>
    <row r="62" spans="1:12" x14ac:dyDescent="0.3">
      <c r="A62" s="78"/>
      <c r="B62" s="74"/>
      <c r="C62" s="74"/>
      <c r="D62" s="74"/>
      <c r="E62" s="74"/>
      <c r="F62" s="74"/>
      <c r="G62" s="74"/>
      <c r="H62" s="67"/>
      <c r="I62" s="67"/>
      <c r="J62" s="67"/>
      <c r="K62" s="67"/>
    </row>
    <row r="63" spans="1:12" x14ac:dyDescent="0.3">
      <c r="A63" s="78"/>
      <c r="B63" s="74"/>
      <c r="C63" s="76" t="s">
        <v>246</v>
      </c>
      <c r="D63" s="76" t="s">
        <v>247</v>
      </c>
      <c r="E63" s="74"/>
      <c r="F63" s="74"/>
      <c r="G63" s="74"/>
      <c r="H63" s="67"/>
      <c r="I63" s="67"/>
      <c r="J63" s="67"/>
      <c r="K63" s="67"/>
    </row>
    <row r="64" spans="1:12" x14ac:dyDescent="0.3">
      <c r="A64" s="78"/>
      <c r="B64" s="74"/>
      <c r="C64" s="120">
        <f>G6*G13/(G11^(0.5))</f>
        <v>18.795477370284782</v>
      </c>
      <c r="D64" s="120">
        <f>((D49*D66)^(5/3))/((D49+2*D66))^(2/3)</f>
        <v>18.802668112080919</v>
      </c>
      <c r="E64" s="74"/>
      <c r="F64" s="78"/>
      <c r="G64" s="78"/>
      <c r="H64" s="67"/>
      <c r="I64" s="67"/>
      <c r="J64" s="67"/>
      <c r="K64" s="67"/>
    </row>
    <row r="65" spans="1:12" x14ac:dyDescent="0.3">
      <c r="A65" s="78"/>
      <c r="B65" s="74"/>
      <c r="C65" s="77"/>
      <c r="D65" s="77"/>
      <c r="E65" s="74"/>
      <c r="F65" s="74"/>
      <c r="G65" s="80"/>
      <c r="H65" s="67"/>
      <c r="I65" s="67"/>
      <c r="J65" s="67"/>
      <c r="K65" s="67"/>
    </row>
    <row r="66" spans="1:12" x14ac:dyDescent="0.3">
      <c r="A66" s="78"/>
      <c r="B66" s="108"/>
      <c r="C66" s="108" t="s">
        <v>54</v>
      </c>
      <c r="D66" s="109">
        <v>1.7090000000000001</v>
      </c>
      <c r="E66" s="110" t="s">
        <v>20</v>
      </c>
      <c r="F66" s="74"/>
      <c r="G66" s="80"/>
      <c r="H66" s="67"/>
      <c r="I66" s="67"/>
      <c r="J66" s="67"/>
      <c r="K66" s="67"/>
    </row>
    <row r="67" spans="1:12" x14ac:dyDescent="0.3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</row>
    <row r="68" spans="1:12" x14ac:dyDescent="0.3">
      <c r="A68" s="113" t="s">
        <v>492</v>
      </c>
      <c r="B68" s="78"/>
      <c r="C68" s="104"/>
      <c r="D68" s="104"/>
      <c r="E68" s="104"/>
      <c r="F68" s="104"/>
      <c r="G68" s="104"/>
      <c r="H68" s="67"/>
      <c r="I68" s="67"/>
      <c r="J68" s="67"/>
    </row>
    <row r="69" spans="1:12" x14ac:dyDescent="0.3">
      <c r="B69" s="74"/>
      <c r="C69" s="74" t="s">
        <v>56</v>
      </c>
      <c r="D69" s="74"/>
      <c r="E69" s="74"/>
      <c r="F69" s="74"/>
      <c r="G69" s="78"/>
      <c r="H69" s="67"/>
      <c r="I69" s="67"/>
      <c r="J69" s="67"/>
    </row>
    <row r="70" spans="1:12" x14ac:dyDescent="0.3">
      <c r="B70" s="74"/>
      <c r="C70" s="74" t="s">
        <v>58</v>
      </c>
      <c r="D70" s="74" t="s">
        <v>59</v>
      </c>
      <c r="E70" s="81" t="s">
        <v>57</v>
      </c>
      <c r="F70" s="74"/>
      <c r="G70" s="74"/>
      <c r="H70" s="67"/>
      <c r="I70" s="67"/>
      <c r="J70" s="67"/>
    </row>
    <row r="71" spans="1:12" x14ac:dyDescent="0.3">
      <c r="B71" s="74"/>
      <c r="C71" s="74" t="s">
        <v>60</v>
      </c>
      <c r="D71" s="74" t="s">
        <v>61</v>
      </c>
      <c r="E71" s="74"/>
      <c r="F71" s="74"/>
      <c r="G71" s="74"/>
      <c r="H71" s="67"/>
      <c r="I71" s="67"/>
      <c r="J71" s="67"/>
    </row>
    <row r="72" spans="1:12" x14ac:dyDescent="0.3">
      <c r="B72" s="74"/>
      <c r="C72" s="74" t="s">
        <v>62</v>
      </c>
      <c r="D72" s="74"/>
      <c r="E72" s="108" t="s">
        <v>63</v>
      </c>
      <c r="F72" s="109">
        <v>0.59</v>
      </c>
      <c r="G72" s="110" t="s">
        <v>20</v>
      </c>
      <c r="H72" s="67"/>
      <c r="I72" s="67"/>
      <c r="J72" s="67"/>
    </row>
    <row r="73" spans="1:12" x14ac:dyDescent="0.3">
      <c r="B73" s="74"/>
      <c r="C73" s="74"/>
      <c r="D73" s="74"/>
      <c r="E73" s="82"/>
      <c r="F73" s="74"/>
      <c r="G73" s="74"/>
      <c r="H73" s="67"/>
      <c r="I73" s="67"/>
      <c r="J73" s="67"/>
    </row>
    <row r="74" spans="1:12" x14ac:dyDescent="0.3">
      <c r="B74" s="74"/>
      <c r="C74" s="76" t="s">
        <v>246</v>
      </c>
      <c r="D74" s="76" t="s">
        <v>247</v>
      </c>
      <c r="E74" s="82"/>
      <c r="F74" s="74"/>
      <c r="G74" s="74"/>
      <c r="H74" s="67"/>
      <c r="I74" s="67"/>
      <c r="J74" s="67"/>
    </row>
    <row r="75" spans="1:12" x14ac:dyDescent="0.3">
      <c r="B75" s="74"/>
      <c r="C75" s="120">
        <f>G9*G14/(G12^(1/2))</f>
        <v>7.3066513114526943E-2</v>
      </c>
      <c r="D75" s="120">
        <f>(2*F72^2)^(5/3)/((4*F72)^(2/3))</f>
        <v>0.30851908139849199</v>
      </c>
      <c r="E75" s="74"/>
      <c r="F75" s="74"/>
      <c r="G75" s="74"/>
      <c r="H75" s="67"/>
      <c r="I75" s="67"/>
      <c r="J75" s="67"/>
    </row>
    <row r="76" spans="1:12" x14ac:dyDescent="0.3">
      <c r="B76" s="74"/>
      <c r="C76" s="83"/>
      <c r="D76" s="83"/>
      <c r="E76" s="74"/>
      <c r="F76" s="74"/>
      <c r="G76" s="74"/>
      <c r="H76" s="67"/>
      <c r="I76" s="67"/>
      <c r="J76" s="67"/>
    </row>
    <row r="77" spans="1:12" x14ac:dyDescent="0.3">
      <c r="B77" s="74"/>
      <c r="C77" s="408" t="s">
        <v>64</v>
      </c>
      <c r="D77" s="408"/>
      <c r="E77" s="408"/>
      <c r="F77" s="74"/>
      <c r="G77" s="74"/>
      <c r="H77" s="67"/>
      <c r="I77" s="67"/>
      <c r="J77" s="67"/>
    </row>
    <row r="78" spans="1:12" x14ac:dyDescent="0.3">
      <c r="B78" s="74"/>
      <c r="C78" s="108" t="s">
        <v>19</v>
      </c>
      <c r="D78" s="109">
        <f>ROUND(2*D79,1)</f>
        <v>1.2</v>
      </c>
      <c r="E78" s="110" t="s">
        <v>20</v>
      </c>
      <c r="F78" s="74"/>
      <c r="G78" s="74"/>
      <c r="H78" s="67"/>
      <c r="I78" s="67"/>
      <c r="J78" s="67"/>
    </row>
    <row r="79" spans="1:12" x14ac:dyDescent="0.3">
      <c r="B79" s="74"/>
      <c r="C79" s="108" t="s">
        <v>63</v>
      </c>
      <c r="D79" s="109">
        <f>F72</f>
        <v>0.59</v>
      </c>
      <c r="E79" s="110" t="s">
        <v>20</v>
      </c>
      <c r="F79" s="74"/>
      <c r="G79" s="74"/>
      <c r="H79" s="67"/>
      <c r="I79" s="67"/>
      <c r="J79" s="67"/>
    </row>
    <row r="80" spans="1:12" x14ac:dyDescent="0.3">
      <c r="B80" s="67"/>
      <c r="C80" s="84"/>
      <c r="D80" s="67"/>
      <c r="E80" s="67"/>
      <c r="F80" s="67"/>
      <c r="G80" s="67"/>
      <c r="H80" s="67"/>
      <c r="I80" s="67"/>
      <c r="J80" s="67"/>
      <c r="K80" s="67"/>
      <c r="L80" s="67"/>
    </row>
    <row r="81" spans="1:12" x14ac:dyDescent="0.3">
      <c r="A81" s="113" t="s">
        <v>493</v>
      </c>
      <c r="C81" s="104"/>
      <c r="D81" s="104"/>
      <c r="E81" s="104"/>
      <c r="F81" s="104"/>
      <c r="G81" s="104"/>
      <c r="H81" s="67"/>
      <c r="I81" s="67"/>
      <c r="J81" s="67"/>
    </row>
    <row r="82" spans="1:12" x14ac:dyDescent="0.3">
      <c r="B82" s="74"/>
      <c r="C82" s="74"/>
      <c r="D82" s="74"/>
      <c r="E82" s="74"/>
      <c r="F82" s="74"/>
      <c r="G82" s="74"/>
      <c r="H82" s="67"/>
      <c r="I82" s="67"/>
      <c r="J82" s="67"/>
    </row>
    <row r="83" spans="1:12" x14ac:dyDescent="0.3">
      <c r="B83" s="74"/>
      <c r="C83" s="74"/>
      <c r="D83" s="74"/>
      <c r="E83" s="74"/>
      <c r="F83" s="74"/>
      <c r="G83" s="74"/>
      <c r="H83" s="67"/>
      <c r="I83" s="67"/>
      <c r="J83" s="67"/>
    </row>
    <row r="84" spans="1:12" x14ac:dyDescent="0.3">
      <c r="B84" s="74"/>
      <c r="C84" s="74"/>
      <c r="D84" s="74"/>
      <c r="E84" s="74"/>
      <c r="F84" s="74"/>
      <c r="G84" s="74"/>
      <c r="H84" s="67"/>
      <c r="I84" s="67"/>
      <c r="J84" s="67"/>
    </row>
    <row r="85" spans="1:12" x14ac:dyDescent="0.3">
      <c r="B85" s="74"/>
      <c r="C85" s="74" t="s">
        <v>65</v>
      </c>
      <c r="D85" s="74"/>
      <c r="E85" s="74"/>
      <c r="F85" s="74"/>
      <c r="G85" s="74"/>
      <c r="H85" s="67"/>
      <c r="I85" s="67"/>
      <c r="J85" s="67"/>
    </row>
    <row r="86" spans="1:12" x14ac:dyDescent="0.3">
      <c r="B86" s="74"/>
      <c r="C86" s="74"/>
      <c r="D86" s="74"/>
      <c r="E86" s="74"/>
      <c r="F86" s="74"/>
      <c r="G86" s="74"/>
      <c r="H86" s="67"/>
      <c r="I86" s="67"/>
      <c r="J86" s="67"/>
    </row>
    <row r="87" spans="1:12" x14ac:dyDescent="0.3">
      <c r="B87" s="74"/>
      <c r="C87" s="74"/>
      <c r="D87" s="74"/>
      <c r="E87" s="74"/>
      <c r="F87" s="108" t="s">
        <v>248</v>
      </c>
      <c r="G87" s="109">
        <v>0.6</v>
      </c>
      <c r="H87" s="110"/>
      <c r="I87" s="67"/>
      <c r="J87" s="67"/>
    </row>
    <row r="88" spans="1:12" x14ac:dyDescent="0.3">
      <c r="B88" s="74"/>
      <c r="C88" s="74" t="s">
        <v>249</v>
      </c>
      <c r="D88" s="74"/>
      <c r="E88" s="74"/>
      <c r="F88" s="74"/>
      <c r="G88" s="74"/>
      <c r="H88" s="67"/>
      <c r="I88" s="67"/>
      <c r="J88" s="67"/>
    </row>
    <row r="89" spans="1:12" x14ac:dyDescent="0.3">
      <c r="B89" s="74"/>
      <c r="C89" s="108" t="s">
        <v>66</v>
      </c>
      <c r="D89" s="109">
        <f>ROUND((G9*3/(2*G87*D78*(2*9.1)^(1/2)))^(2/3),1)</f>
        <v>0.3</v>
      </c>
      <c r="E89" s="110" t="s">
        <v>20</v>
      </c>
      <c r="F89" s="74"/>
      <c r="G89" s="74"/>
      <c r="H89" s="67"/>
      <c r="I89" s="67"/>
      <c r="J89" s="67"/>
    </row>
    <row r="90" spans="1:12" x14ac:dyDescent="0.3">
      <c r="B90" s="74"/>
      <c r="C90" s="74"/>
      <c r="D90" s="83"/>
      <c r="E90" s="74"/>
      <c r="F90" s="74"/>
      <c r="G90" s="74"/>
      <c r="H90" s="67"/>
      <c r="I90" s="67"/>
      <c r="J90" s="67"/>
    </row>
    <row r="91" spans="1:12" x14ac:dyDescent="0.3">
      <c r="B91" s="74"/>
      <c r="C91" s="121" t="s">
        <v>291</v>
      </c>
      <c r="D91" s="121"/>
      <c r="E91" s="121"/>
      <c r="F91" s="121"/>
      <c r="G91" s="121"/>
      <c r="H91" s="67"/>
      <c r="I91" s="67"/>
      <c r="J91" s="67"/>
    </row>
    <row r="92" spans="1:12" x14ac:dyDescent="0.3">
      <c r="B92" s="74"/>
      <c r="C92" s="108" t="s">
        <v>67</v>
      </c>
      <c r="D92" s="109">
        <f>D78</f>
        <v>1.2</v>
      </c>
      <c r="E92" s="110" t="s">
        <v>20</v>
      </c>
      <c r="G92" s="74"/>
      <c r="H92" s="67"/>
      <c r="I92" s="67"/>
      <c r="J92" s="67"/>
    </row>
    <row r="93" spans="1:12" x14ac:dyDescent="0.3">
      <c r="B93" s="74"/>
      <c r="C93" s="108" t="s">
        <v>66</v>
      </c>
      <c r="D93" s="109">
        <f>D89</f>
        <v>0.3</v>
      </c>
      <c r="E93" s="110" t="s">
        <v>20</v>
      </c>
      <c r="G93" s="74"/>
      <c r="H93" s="67"/>
      <c r="I93" s="67"/>
      <c r="J93" s="67"/>
    </row>
    <row r="94" spans="1:12" x14ac:dyDescent="0.3">
      <c r="B94" s="67"/>
      <c r="C94" s="67"/>
      <c r="D94" s="84"/>
      <c r="E94" s="67"/>
      <c r="F94" s="67"/>
      <c r="G94" s="67"/>
      <c r="H94" s="67"/>
      <c r="I94" s="67"/>
      <c r="J94" s="67"/>
      <c r="K94" s="67"/>
      <c r="L94" s="67"/>
    </row>
    <row r="95" spans="1:12" x14ac:dyDescent="0.3">
      <c r="A95" s="113" t="s">
        <v>494</v>
      </c>
      <c r="C95" s="104"/>
      <c r="D95" s="104"/>
      <c r="E95" s="104"/>
      <c r="F95" s="104"/>
      <c r="G95" s="104"/>
      <c r="H95" s="104"/>
      <c r="I95" s="104"/>
      <c r="J95" s="67"/>
      <c r="K95" s="67"/>
      <c r="L95" s="67"/>
    </row>
    <row r="96" spans="1:12" x14ac:dyDescent="0.3">
      <c r="B96" s="74"/>
      <c r="C96" s="74" t="s">
        <v>69</v>
      </c>
      <c r="D96" s="74"/>
      <c r="E96" s="74"/>
      <c r="F96" s="74"/>
      <c r="G96" s="74"/>
      <c r="H96" s="74"/>
      <c r="I96" s="74"/>
      <c r="J96" s="67"/>
      <c r="K96" s="67"/>
      <c r="L96" s="67"/>
    </row>
    <row r="97" spans="1:12" x14ac:dyDescent="0.3">
      <c r="B97" s="74"/>
      <c r="C97" s="74" t="s">
        <v>483</v>
      </c>
      <c r="D97" s="74"/>
      <c r="E97" s="74"/>
      <c r="F97" s="74"/>
      <c r="G97" s="74"/>
      <c r="H97" s="74"/>
      <c r="I97" s="74"/>
      <c r="J97" s="67"/>
      <c r="K97" s="67"/>
      <c r="L97" s="67"/>
    </row>
    <row r="98" spans="1:12" x14ac:dyDescent="0.3">
      <c r="B98" s="74"/>
      <c r="C98" s="74"/>
      <c r="D98" s="74"/>
      <c r="E98" s="74"/>
      <c r="F98" s="74"/>
      <c r="G98" s="74"/>
      <c r="H98" s="74"/>
      <c r="I98" s="74"/>
      <c r="J98" s="67"/>
      <c r="K98" s="67"/>
      <c r="L98" s="67"/>
    </row>
    <row r="99" spans="1:12" x14ac:dyDescent="0.3">
      <c r="B99" s="74"/>
      <c r="C99" s="74" t="s">
        <v>33</v>
      </c>
      <c r="D99" s="74"/>
      <c r="E99" s="74"/>
      <c r="F99" s="74"/>
      <c r="G99" s="74"/>
      <c r="H99" s="74"/>
      <c r="I99" s="74"/>
      <c r="J99" s="67"/>
      <c r="K99" s="67"/>
      <c r="L99" s="67"/>
    </row>
    <row r="100" spans="1:12" x14ac:dyDescent="0.3">
      <c r="B100" s="74"/>
      <c r="C100" s="82" t="s">
        <v>49</v>
      </c>
      <c r="D100" s="122" t="s">
        <v>70</v>
      </c>
      <c r="E100" s="74"/>
      <c r="F100" s="74"/>
      <c r="G100" s="74"/>
      <c r="H100" s="74"/>
      <c r="I100" s="74"/>
      <c r="J100" s="67"/>
      <c r="K100" s="67"/>
      <c r="L100" s="67"/>
    </row>
    <row r="101" spans="1:12" x14ac:dyDescent="0.3">
      <c r="B101" s="74"/>
      <c r="C101" s="82" t="s">
        <v>71</v>
      </c>
      <c r="D101" s="122" t="s">
        <v>72</v>
      </c>
      <c r="E101" s="122"/>
      <c r="F101" s="74"/>
      <c r="G101" s="74"/>
      <c r="H101" s="74"/>
      <c r="I101" s="74"/>
      <c r="J101" s="67"/>
      <c r="K101" s="67"/>
      <c r="L101" s="67"/>
    </row>
    <row r="102" spans="1:12" x14ac:dyDescent="0.3">
      <c r="B102" s="74"/>
      <c r="C102" s="82" t="s">
        <v>251</v>
      </c>
      <c r="D102" s="122" t="s">
        <v>250</v>
      </c>
      <c r="E102" s="122"/>
      <c r="F102" s="74"/>
      <c r="J102" s="67"/>
      <c r="K102" s="67"/>
      <c r="L102" s="67"/>
    </row>
    <row r="103" spans="1:12" x14ac:dyDescent="0.3">
      <c r="B103" s="74"/>
      <c r="C103" s="108" t="s">
        <v>71</v>
      </c>
      <c r="D103" s="109">
        <v>0.6</v>
      </c>
      <c r="E103" s="110" t="s">
        <v>20</v>
      </c>
      <c r="F103" s="74"/>
      <c r="G103" s="74"/>
      <c r="H103" s="74"/>
      <c r="I103" s="74"/>
      <c r="J103" s="67"/>
      <c r="K103" s="67"/>
      <c r="L103" s="67"/>
    </row>
    <row r="104" spans="1:12" x14ac:dyDescent="0.3">
      <c r="B104" s="74"/>
      <c r="C104" s="407" t="s">
        <v>292</v>
      </c>
      <c r="D104" s="407"/>
      <c r="E104" s="407"/>
      <c r="F104" s="74"/>
      <c r="G104" s="74"/>
      <c r="H104" s="74"/>
      <c r="I104" s="74"/>
      <c r="J104" s="67"/>
      <c r="K104" s="67"/>
      <c r="L104" s="67"/>
    </row>
    <row r="105" spans="1:12" x14ac:dyDescent="0.3">
      <c r="B105" s="74"/>
      <c r="C105" s="108" t="s">
        <v>49</v>
      </c>
      <c r="D105" s="109">
        <f>D103+D93+0.2</f>
        <v>1.0999999999999999</v>
      </c>
      <c r="E105" s="110" t="s">
        <v>20</v>
      </c>
      <c r="F105" s="74"/>
      <c r="G105" s="74"/>
      <c r="H105" s="74"/>
      <c r="I105" s="74"/>
      <c r="J105" s="67"/>
      <c r="K105" s="67"/>
      <c r="L105" s="67"/>
    </row>
    <row r="106" spans="1:12" x14ac:dyDescent="0.3">
      <c r="B106" s="67"/>
      <c r="C106" s="85"/>
      <c r="D106" s="84"/>
      <c r="E106" s="67"/>
      <c r="F106" s="67"/>
      <c r="G106" s="67"/>
      <c r="H106" s="67"/>
      <c r="I106" s="67"/>
      <c r="J106" s="67"/>
      <c r="K106" s="67"/>
      <c r="L106" s="67"/>
    </row>
    <row r="107" spans="1:12" x14ac:dyDescent="0.3">
      <c r="A107" s="113" t="s">
        <v>495</v>
      </c>
      <c r="B107" s="78"/>
      <c r="C107" s="104"/>
      <c r="D107" s="104"/>
      <c r="E107" s="104"/>
      <c r="F107" s="104"/>
      <c r="G107" s="104"/>
      <c r="H107" s="67"/>
      <c r="I107" s="67"/>
      <c r="J107" s="67"/>
      <c r="K107" s="67"/>
      <c r="L107" s="67"/>
    </row>
    <row r="108" spans="1:12" x14ac:dyDescent="0.3">
      <c r="B108" s="75"/>
      <c r="C108" s="75"/>
      <c r="D108" s="75"/>
      <c r="E108" s="75"/>
      <c r="F108" s="74"/>
      <c r="G108" s="74"/>
      <c r="H108" s="67"/>
      <c r="I108" s="67"/>
      <c r="J108" s="67"/>
      <c r="K108" s="67"/>
      <c r="L108" s="67"/>
    </row>
    <row r="109" spans="1:12" x14ac:dyDescent="0.3">
      <c r="A109" s="78"/>
      <c r="B109" s="74"/>
      <c r="C109" s="404" t="s">
        <v>90</v>
      </c>
      <c r="D109" s="405"/>
      <c r="E109" s="405"/>
      <c r="F109" s="406"/>
      <c r="G109" s="74"/>
      <c r="H109" s="74"/>
      <c r="I109" s="67"/>
      <c r="J109" s="67"/>
      <c r="K109" s="67"/>
      <c r="L109" s="67"/>
    </row>
    <row r="110" spans="1:12" x14ac:dyDescent="0.3">
      <c r="A110" s="78"/>
      <c r="B110" s="74"/>
      <c r="C110" s="86" t="s">
        <v>1</v>
      </c>
      <c r="D110" s="87" t="s">
        <v>91</v>
      </c>
      <c r="E110" s="87" t="s">
        <v>92</v>
      </c>
      <c r="F110" s="87" t="s">
        <v>93</v>
      </c>
      <c r="G110" s="74"/>
      <c r="H110" s="74"/>
      <c r="I110" s="67"/>
      <c r="J110" s="67"/>
      <c r="K110" s="67"/>
      <c r="L110" s="67"/>
    </row>
    <row r="111" spans="1:12" x14ac:dyDescent="0.3">
      <c r="A111" s="78"/>
      <c r="B111" s="74"/>
      <c r="C111" s="88">
        <v>0</v>
      </c>
      <c r="D111" s="89">
        <v>0.126</v>
      </c>
      <c r="E111" s="89">
        <v>0.126</v>
      </c>
      <c r="F111" s="89">
        <v>-0.83099999999999996</v>
      </c>
      <c r="G111" s="74"/>
      <c r="H111" s="74"/>
      <c r="I111" s="67"/>
      <c r="J111" s="67"/>
      <c r="K111" s="67"/>
      <c r="L111" s="67"/>
    </row>
    <row r="112" spans="1:12" x14ac:dyDescent="0.3">
      <c r="A112" s="78"/>
      <c r="B112" s="74"/>
      <c r="C112" s="88">
        <f t="shared" ref="C112:C121" si="0">C111+0.1</f>
        <v>0.1</v>
      </c>
      <c r="D112" s="89">
        <v>3.5999999999999997E-2</v>
      </c>
      <c r="E112" s="89">
        <v>3.5999999999999997E-2</v>
      </c>
      <c r="F112" s="89">
        <v>-0.80300000000000005</v>
      </c>
      <c r="G112" s="74"/>
      <c r="H112" s="74"/>
      <c r="I112" s="67"/>
      <c r="J112" s="67"/>
      <c r="K112" s="67"/>
      <c r="L112" s="67"/>
    </row>
    <row r="113" spans="1:12" x14ac:dyDescent="0.3">
      <c r="A113" s="78"/>
      <c r="B113" s="74"/>
      <c r="C113" s="88">
        <f t="shared" si="0"/>
        <v>0.2</v>
      </c>
      <c r="D113" s="89">
        <v>7.0000000000000001E-3</v>
      </c>
      <c r="E113" s="89">
        <v>7.0000000000000001E-3</v>
      </c>
      <c r="F113" s="89">
        <v>-0.77200000000000002</v>
      </c>
      <c r="G113" s="74"/>
      <c r="H113" s="74"/>
      <c r="I113" s="67"/>
      <c r="J113" s="67"/>
      <c r="K113" s="67"/>
      <c r="L113" s="67"/>
    </row>
    <row r="114" spans="1:12" x14ac:dyDescent="0.3">
      <c r="A114" s="78"/>
      <c r="B114" s="74"/>
      <c r="C114" s="88">
        <f t="shared" si="0"/>
        <v>0.30000000000000004</v>
      </c>
      <c r="D114" s="89">
        <v>0</v>
      </c>
      <c r="E114" s="89">
        <v>0</v>
      </c>
      <c r="F114" s="89">
        <v>-0.74</v>
      </c>
      <c r="G114" s="74"/>
      <c r="H114" s="74"/>
      <c r="I114" s="67"/>
      <c r="J114" s="67"/>
      <c r="K114" s="67"/>
      <c r="L114" s="67"/>
    </row>
    <row r="115" spans="1:12" x14ac:dyDescent="0.3">
      <c r="A115" s="78"/>
      <c r="B115" s="74"/>
      <c r="C115" s="88">
        <f t="shared" si="0"/>
        <v>0.4</v>
      </c>
      <c r="D115" s="89">
        <v>7.0000000000000001E-3</v>
      </c>
      <c r="E115" s="89">
        <v>6.0000000000000001E-3</v>
      </c>
      <c r="F115" s="89">
        <v>-0.70199999999999996</v>
      </c>
      <c r="G115" s="74"/>
      <c r="H115" s="74"/>
      <c r="I115" s="67"/>
      <c r="J115" s="67"/>
      <c r="K115" s="67"/>
      <c r="L115" s="67"/>
    </row>
    <row r="116" spans="1:12" x14ac:dyDescent="0.3">
      <c r="A116" s="78"/>
      <c r="B116" s="74"/>
      <c r="C116" s="88">
        <f t="shared" si="0"/>
        <v>0.5</v>
      </c>
      <c r="D116" s="89">
        <v>2.7E-2</v>
      </c>
      <c r="E116" s="89">
        <v>2.5000000000000001E-2</v>
      </c>
      <c r="F116" s="89">
        <v>-0.65500000000000003</v>
      </c>
      <c r="G116" s="74"/>
      <c r="H116" s="74"/>
      <c r="I116" s="67"/>
      <c r="J116" s="67"/>
      <c r="K116" s="67"/>
      <c r="L116" s="67"/>
    </row>
    <row r="117" spans="1:12" x14ac:dyDescent="0.3">
      <c r="A117" s="78"/>
      <c r="B117" s="74"/>
      <c r="C117" s="88">
        <f t="shared" si="0"/>
        <v>0.6</v>
      </c>
      <c r="D117" s="89">
        <v>6.3E-2</v>
      </c>
      <c r="E117" s="89">
        <v>0.06</v>
      </c>
      <c r="F117" s="89">
        <v>-0.62</v>
      </c>
      <c r="G117" s="74"/>
      <c r="H117" s="74"/>
      <c r="I117" s="67"/>
      <c r="J117" s="67"/>
      <c r="K117" s="67"/>
      <c r="L117" s="67"/>
    </row>
    <row r="118" spans="1:12" x14ac:dyDescent="0.3">
      <c r="A118" s="78"/>
      <c r="B118" s="74"/>
      <c r="C118" s="88">
        <f t="shared" si="0"/>
        <v>0.7</v>
      </c>
      <c r="D118" s="89">
        <v>0.10299999999999999</v>
      </c>
      <c r="E118" s="89">
        <v>9.8000000000000004E-2</v>
      </c>
      <c r="F118" s="89">
        <v>-0.56000000000000005</v>
      </c>
      <c r="G118" s="74"/>
      <c r="H118" s="74"/>
      <c r="I118" s="67"/>
      <c r="J118" s="67"/>
      <c r="K118" s="67"/>
      <c r="L118" s="67"/>
    </row>
    <row r="119" spans="1:12" x14ac:dyDescent="0.3">
      <c r="A119" s="78"/>
      <c r="B119" s="74"/>
      <c r="C119" s="88">
        <f t="shared" si="0"/>
        <v>0.79999999999999993</v>
      </c>
      <c r="D119" s="89">
        <v>0.153</v>
      </c>
      <c r="E119" s="89">
        <v>0.14699999999999999</v>
      </c>
      <c r="F119" s="89">
        <v>-0.51100000000000001</v>
      </c>
      <c r="G119" s="74"/>
      <c r="H119" s="74"/>
      <c r="I119" s="67"/>
      <c r="J119" s="67"/>
      <c r="K119" s="67"/>
      <c r="L119" s="67"/>
    </row>
    <row r="120" spans="1:12" x14ac:dyDescent="0.3">
      <c r="A120" s="78"/>
      <c r="B120" s="74"/>
      <c r="C120" s="88">
        <f t="shared" si="0"/>
        <v>0.89999999999999991</v>
      </c>
      <c r="D120" s="89">
        <v>0.20599999999999999</v>
      </c>
      <c r="E120" s="89">
        <v>0.19800000000000001</v>
      </c>
      <c r="F120" s="89">
        <v>-0.45</v>
      </c>
      <c r="G120" s="74"/>
      <c r="H120" s="74"/>
      <c r="I120" s="67"/>
      <c r="J120" s="67"/>
      <c r="K120" s="67"/>
      <c r="L120" s="67"/>
    </row>
    <row r="121" spans="1:12" x14ac:dyDescent="0.3">
      <c r="A121" s="78"/>
      <c r="B121" s="74"/>
      <c r="C121" s="88">
        <f t="shared" si="0"/>
        <v>0.99999999999999989</v>
      </c>
      <c r="D121" s="89">
        <v>0.26700000000000002</v>
      </c>
      <c r="E121" s="89">
        <v>0.25600000000000001</v>
      </c>
      <c r="F121" s="89">
        <v>-0.38</v>
      </c>
      <c r="G121" s="74"/>
      <c r="H121" s="74"/>
      <c r="I121" s="67"/>
      <c r="J121" s="67"/>
      <c r="K121" s="67"/>
      <c r="L121" s="67"/>
    </row>
    <row r="122" spans="1:12" x14ac:dyDescent="0.3">
      <c r="A122" s="78"/>
      <c r="B122" s="74"/>
      <c r="C122" s="92"/>
      <c r="D122" s="92"/>
      <c r="E122" s="92"/>
      <c r="F122" s="92"/>
      <c r="G122" s="74"/>
      <c r="H122" s="74"/>
      <c r="I122" s="67"/>
      <c r="J122" s="67"/>
      <c r="K122" s="67"/>
      <c r="L122" s="67"/>
    </row>
    <row r="123" spans="1:12" x14ac:dyDescent="0.3">
      <c r="A123" s="78"/>
      <c r="B123" s="74"/>
      <c r="C123" s="404" t="s">
        <v>90</v>
      </c>
      <c r="D123" s="405"/>
      <c r="E123" s="405"/>
      <c r="F123" s="406"/>
      <c r="G123" s="74"/>
      <c r="H123" s="74"/>
      <c r="I123" s="67"/>
      <c r="J123" s="67"/>
      <c r="K123" s="67"/>
      <c r="L123" s="67"/>
    </row>
    <row r="124" spans="1:12" x14ac:dyDescent="0.3">
      <c r="A124" s="78"/>
      <c r="B124" s="74"/>
      <c r="C124" s="86" t="s">
        <v>1</v>
      </c>
      <c r="D124" s="87" t="s">
        <v>91</v>
      </c>
      <c r="E124" s="87" t="s">
        <v>92</v>
      </c>
      <c r="F124" s="87" t="s">
        <v>93</v>
      </c>
      <c r="G124" s="74"/>
      <c r="H124" s="74"/>
      <c r="I124" s="67"/>
      <c r="J124" s="67"/>
      <c r="K124" s="67"/>
      <c r="L124" s="67"/>
    </row>
    <row r="125" spans="1:12" x14ac:dyDescent="0.3">
      <c r="A125" s="78"/>
      <c r="B125" s="74"/>
      <c r="C125" s="93">
        <f t="shared" ref="C125:F135" si="1">C111*$D$147</f>
        <v>0</v>
      </c>
      <c r="D125" s="94">
        <f t="shared" si="1"/>
        <v>0.55601792715754772</v>
      </c>
      <c r="E125" s="94">
        <f t="shared" si="1"/>
        <v>0.55601792715754772</v>
      </c>
      <c r="F125" s="94">
        <f t="shared" si="1"/>
        <v>-3.6670706148247789</v>
      </c>
      <c r="G125" s="74"/>
      <c r="H125" s="74"/>
      <c r="I125" s="67"/>
      <c r="J125" s="67"/>
      <c r="K125" s="67"/>
      <c r="L125" s="67"/>
    </row>
    <row r="126" spans="1:12" x14ac:dyDescent="0.3">
      <c r="A126" s="78"/>
      <c r="B126" s="74"/>
      <c r="C126" s="93">
        <f t="shared" si="1"/>
        <v>0.44128406917265695</v>
      </c>
      <c r="D126" s="94">
        <f t="shared" si="1"/>
        <v>0.15886226490215649</v>
      </c>
      <c r="E126" s="94">
        <f t="shared" si="1"/>
        <v>0.15886226490215649</v>
      </c>
      <c r="F126" s="94">
        <f t="shared" si="1"/>
        <v>-3.5435110754564354</v>
      </c>
      <c r="G126" s="74"/>
      <c r="H126" s="74"/>
      <c r="I126" s="67"/>
      <c r="J126" s="67"/>
      <c r="K126" s="67"/>
      <c r="L126" s="67"/>
    </row>
    <row r="127" spans="1:12" x14ac:dyDescent="0.3">
      <c r="A127" s="78"/>
      <c r="B127" s="74"/>
      <c r="C127" s="93">
        <f t="shared" si="1"/>
        <v>0.88256813834531389</v>
      </c>
      <c r="D127" s="94">
        <f t="shared" si="1"/>
        <v>3.0889884842085987E-2</v>
      </c>
      <c r="E127" s="94">
        <f t="shared" si="1"/>
        <v>3.0889884842085987E-2</v>
      </c>
      <c r="F127" s="94">
        <f t="shared" si="1"/>
        <v>-3.4067130140129116</v>
      </c>
      <c r="G127" s="74"/>
      <c r="H127" s="74"/>
      <c r="I127" s="67"/>
      <c r="J127" s="67"/>
      <c r="K127" s="67"/>
      <c r="L127" s="67"/>
    </row>
    <row r="128" spans="1:12" x14ac:dyDescent="0.3">
      <c r="A128" s="78"/>
      <c r="B128" s="74"/>
      <c r="C128" s="93">
        <f t="shared" si="1"/>
        <v>1.3238522075179711</v>
      </c>
      <c r="D128" s="94">
        <f t="shared" si="1"/>
        <v>0</v>
      </c>
      <c r="E128" s="94">
        <f t="shared" si="1"/>
        <v>0</v>
      </c>
      <c r="F128" s="94">
        <f t="shared" si="1"/>
        <v>-3.2655021118776615</v>
      </c>
      <c r="G128" s="74"/>
      <c r="H128" s="74"/>
      <c r="I128" s="67"/>
      <c r="J128" s="67"/>
      <c r="K128" s="67"/>
      <c r="L128" s="67"/>
    </row>
    <row r="129" spans="1:12" x14ac:dyDescent="0.3">
      <c r="A129" s="78"/>
      <c r="B129" s="74"/>
      <c r="C129" s="93">
        <f t="shared" si="1"/>
        <v>1.7651362766906278</v>
      </c>
      <c r="D129" s="94">
        <f t="shared" si="1"/>
        <v>3.0889884842085987E-2</v>
      </c>
      <c r="E129" s="94">
        <f t="shared" si="1"/>
        <v>2.6477044150359418E-2</v>
      </c>
      <c r="F129" s="94">
        <f t="shared" si="1"/>
        <v>-3.0978141655920517</v>
      </c>
      <c r="G129" s="74"/>
      <c r="H129" s="74"/>
      <c r="I129" s="67"/>
      <c r="J129" s="67"/>
      <c r="K129" s="67"/>
      <c r="L129" s="67"/>
    </row>
    <row r="130" spans="1:12" x14ac:dyDescent="0.3">
      <c r="A130" s="78"/>
      <c r="B130" s="74"/>
      <c r="C130" s="93">
        <f t="shared" si="1"/>
        <v>2.2064203458632847</v>
      </c>
      <c r="D130" s="94">
        <f t="shared" si="1"/>
        <v>0.11914669867661737</v>
      </c>
      <c r="E130" s="94">
        <f t="shared" si="1"/>
        <v>0.11032101729316424</v>
      </c>
      <c r="F130" s="94">
        <f t="shared" si="1"/>
        <v>-2.8904106530809033</v>
      </c>
      <c r="G130" s="74"/>
      <c r="H130" s="74"/>
      <c r="I130" s="67"/>
      <c r="J130" s="67"/>
      <c r="K130" s="67"/>
      <c r="L130" s="67"/>
    </row>
    <row r="131" spans="1:12" x14ac:dyDescent="0.3">
      <c r="A131" s="78"/>
      <c r="B131" s="74"/>
      <c r="C131" s="93">
        <f t="shared" si="1"/>
        <v>2.6477044150359417</v>
      </c>
      <c r="D131" s="94">
        <f t="shared" si="1"/>
        <v>0.27800896357877386</v>
      </c>
      <c r="E131" s="94">
        <f t="shared" si="1"/>
        <v>0.26477044150359413</v>
      </c>
      <c r="F131" s="94">
        <f t="shared" si="1"/>
        <v>-2.7359612288704729</v>
      </c>
      <c r="G131" s="74"/>
      <c r="H131" s="74"/>
      <c r="I131" s="67"/>
      <c r="J131" s="67"/>
      <c r="K131" s="67"/>
      <c r="L131" s="67"/>
    </row>
    <row r="132" spans="1:12" x14ac:dyDescent="0.3">
      <c r="A132" s="78"/>
      <c r="B132" s="74"/>
      <c r="C132" s="93">
        <f t="shared" si="1"/>
        <v>3.0889884842085986</v>
      </c>
      <c r="D132" s="94">
        <f t="shared" si="1"/>
        <v>0.45452259124783662</v>
      </c>
      <c r="E132" s="94">
        <f t="shared" si="1"/>
        <v>0.43245838778920381</v>
      </c>
      <c r="F132" s="94">
        <f t="shared" si="1"/>
        <v>-2.4711907873668792</v>
      </c>
      <c r="G132" s="74"/>
      <c r="H132" s="74"/>
      <c r="I132" s="67"/>
      <c r="J132" s="67"/>
      <c r="K132" s="67"/>
      <c r="L132" s="67"/>
    </row>
    <row r="133" spans="1:12" x14ac:dyDescent="0.3">
      <c r="A133" s="78"/>
      <c r="B133" s="74"/>
      <c r="C133" s="93">
        <f t="shared" si="1"/>
        <v>3.5302725533812551</v>
      </c>
      <c r="D133" s="94">
        <f t="shared" si="1"/>
        <v>0.67516462583416514</v>
      </c>
      <c r="E133" s="94">
        <f t="shared" si="1"/>
        <v>0.64868758168380569</v>
      </c>
      <c r="F133" s="94">
        <f t="shared" si="1"/>
        <v>-2.2549615934722769</v>
      </c>
      <c r="G133" s="74"/>
      <c r="H133" s="74"/>
      <c r="I133" s="67"/>
      <c r="J133" s="67"/>
      <c r="K133" s="67"/>
      <c r="L133" s="67"/>
    </row>
    <row r="134" spans="1:12" x14ac:dyDescent="0.3">
      <c r="A134" s="78"/>
      <c r="B134" s="74"/>
      <c r="C134" s="93">
        <f t="shared" si="1"/>
        <v>3.9715566225539121</v>
      </c>
      <c r="D134" s="94">
        <f t="shared" si="1"/>
        <v>0.90904518249567323</v>
      </c>
      <c r="E134" s="94">
        <f t="shared" si="1"/>
        <v>0.87374245696186081</v>
      </c>
      <c r="F134" s="94">
        <f t="shared" si="1"/>
        <v>-1.9857783112769563</v>
      </c>
      <c r="G134" s="74"/>
      <c r="H134" s="74"/>
      <c r="I134" s="67"/>
      <c r="J134" s="67"/>
      <c r="K134" s="67"/>
      <c r="L134" s="67"/>
    </row>
    <row r="135" spans="1:12" x14ac:dyDescent="0.3">
      <c r="A135" s="78"/>
      <c r="B135" s="74"/>
      <c r="C135" s="93">
        <f t="shared" si="1"/>
        <v>4.4128406917265686</v>
      </c>
      <c r="D135" s="94">
        <f t="shared" si="1"/>
        <v>1.1782284646909942</v>
      </c>
      <c r="E135" s="94">
        <f t="shared" si="1"/>
        <v>1.1296872170820018</v>
      </c>
      <c r="F135" s="94">
        <f t="shared" si="1"/>
        <v>-1.6768794628560963</v>
      </c>
      <c r="G135" s="74"/>
      <c r="H135" s="74"/>
      <c r="I135" s="67"/>
      <c r="J135" s="67"/>
      <c r="K135" s="67"/>
      <c r="L135" s="67"/>
    </row>
    <row r="136" spans="1:12" x14ac:dyDescent="0.3">
      <c r="B136" s="74"/>
      <c r="C136" s="90"/>
      <c r="D136" s="91"/>
      <c r="E136" s="91"/>
      <c r="F136" s="91"/>
      <c r="G136" s="74"/>
      <c r="H136" s="67"/>
      <c r="I136" s="67"/>
      <c r="J136" s="67"/>
      <c r="K136" s="67"/>
      <c r="L136" s="67"/>
    </row>
    <row r="137" spans="1:12" x14ac:dyDescent="0.3">
      <c r="A137" s="113" t="s">
        <v>496</v>
      </c>
      <c r="C137" s="104"/>
      <c r="D137" s="104"/>
      <c r="E137" s="104"/>
      <c r="F137" s="104"/>
      <c r="G137" s="104"/>
      <c r="H137" s="67"/>
      <c r="I137" s="67"/>
      <c r="J137" s="67"/>
      <c r="K137" s="67"/>
      <c r="L137" s="67"/>
    </row>
    <row r="138" spans="1:12" x14ac:dyDescent="0.3">
      <c r="B138" s="74"/>
      <c r="D138" s="108" t="s">
        <v>152</v>
      </c>
      <c r="E138" s="109">
        <f>D49</f>
        <v>9.4550000000000001</v>
      </c>
      <c r="F138" s="110" t="s">
        <v>20</v>
      </c>
      <c r="H138" s="67"/>
      <c r="I138" s="67"/>
      <c r="J138" s="67"/>
      <c r="K138" s="67"/>
      <c r="L138" s="67"/>
    </row>
    <row r="139" spans="1:12" x14ac:dyDescent="0.3">
      <c r="B139" s="74"/>
      <c r="D139" s="108" t="s">
        <v>151</v>
      </c>
      <c r="E139" s="109">
        <f>E138/10</f>
        <v>0.94550000000000001</v>
      </c>
      <c r="F139" s="110" t="s">
        <v>20</v>
      </c>
      <c r="H139" s="67"/>
      <c r="I139" s="67"/>
      <c r="J139" s="67"/>
      <c r="K139" s="67"/>
      <c r="L139" s="67"/>
    </row>
    <row r="140" spans="1:12" x14ac:dyDescent="0.3">
      <c r="B140" s="74"/>
      <c r="D140" s="108" t="s">
        <v>150</v>
      </c>
      <c r="E140" s="109">
        <v>0.3</v>
      </c>
      <c r="F140" s="110" t="s">
        <v>20</v>
      </c>
      <c r="H140" s="67"/>
      <c r="I140" s="67"/>
      <c r="J140" s="67"/>
      <c r="K140" s="67"/>
      <c r="L140" s="67"/>
    </row>
    <row r="141" spans="1:12" x14ac:dyDescent="0.3">
      <c r="B141" s="74"/>
      <c r="D141" s="108" t="s">
        <v>153</v>
      </c>
      <c r="E141" s="109">
        <f>E138+E139+E140</f>
        <v>10.700500000000002</v>
      </c>
      <c r="F141" s="110" t="s">
        <v>20</v>
      </c>
      <c r="H141" s="67"/>
      <c r="I141" s="67"/>
      <c r="J141" s="67"/>
      <c r="K141" s="67"/>
      <c r="L141" s="67"/>
    </row>
    <row r="142" spans="1:12" x14ac:dyDescent="0.3">
      <c r="B142" s="67"/>
      <c r="C142" s="67"/>
      <c r="D142" s="67"/>
      <c r="E142" s="67"/>
      <c r="F142" s="84"/>
      <c r="G142" s="67"/>
      <c r="H142" s="67"/>
      <c r="I142" s="67"/>
      <c r="J142" s="67"/>
      <c r="K142" s="67"/>
      <c r="L142" s="67"/>
    </row>
    <row r="143" spans="1:12" x14ac:dyDescent="0.3">
      <c r="A143" s="113" t="s">
        <v>497</v>
      </c>
      <c r="B143" s="78"/>
      <c r="C143" s="104"/>
      <c r="D143" s="104"/>
      <c r="E143" s="104"/>
      <c r="F143" s="104"/>
      <c r="G143" s="104"/>
      <c r="H143" s="104"/>
      <c r="I143" s="104"/>
      <c r="J143" s="67"/>
      <c r="K143" s="67"/>
      <c r="L143" s="67"/>
    </row>
    <row r="144" spans="1:12" ht="21.75" customHeight="1" x14ac:dyDescent="0.3">
      <c r="B144" s="74"/>
      <c r="C144" s="74"/>
      <c r="D144" s="74"/>
      <c r="E144" s="74"/>
      <c r="F144" s="74"/>
      <c r="G144" s="74"/>
      <c r="H144" s="74"/>
      <c r="I144" s="74"/>
      <c r="J144" s="67"/>
      <c r="K144" s="67"/>
      <c r="L144" s="67"/>
    </row>
    <row r="145" spans="2:12" ht="18" customHeight="1" x14ac:dyDescent="0.3">
      <c r="B145" s="74"/>
      <c r="C145" s="74"/>
      <c r="D145" s="74"/>
      <c r="E145" s="74"/>
      <c r="F145" s="124" t="s">
        <v>253</v>
      </c>
      <c r="G145" s="78"/>
      <c r="H145" s="74"/>
      <c r="I145" s="74"/>
      <c r="J145" s="67"/>
      <c r="K145" s="67"/>
      <c r="L145" s="67"/>
    </row>
    <row r="146" spans="2:12" ht="18.75" customHeight="1" x14ac:dyDescent="0.3">
      <c r="B146" s="74"/>
      <c r="C146" s="74"/>
      <c r="D146" s="74"/>
      <c r="E146" s="74"/>
      <c r="F146" s="124" t="s">
        <v>255</v>
      </c>
      <c r="G146" s="74"/>
      <c r="H146" s="95"/>
      <c r="I146" s="74"/>
      <c r="J146" s="67"/>
      <c r="K146" s="67"/>
      <c r="L146" s="67"/>
    </row>
    <row r="147" spans="2:12" x14ac:dyDescent="0.3">
      <c r="B147" s="74"/>
      <c r="C147" s="108" t="s">
        <v>73</v>
      </c>
      <c r="D147" s="109">
        <f>(G6/(1.838*E138))^(1/1.5)</f>
        <v>4.4128406917265695</v>
      </c>
      <c r="E147" s="110" t="s">
        <v>20</v>
      </c>
      <c r="F147" s="124" t="s">
        <v>254</v>
      </c>
      <c r="G147" s="74"/>
      <c r="H147" s="74"/>
      <c r="I147" s="74"/>
      <c r="J147" s="67"/>
      <c r="K147" s="67"/>
      <c r="L147" s="67"/>
    </row>
    <row r="148" spans="2:12" x14ac:dyDescent="0.3">
      <c r="B148" s="74"/>
      <c r="C148" s="74"/>
      <c r="D148" s="74"/>
      <c r="E148" s="74"/>
      <c r="F148" s="74"/>
      <c r="G148" s="74"/>
      <c r="H148" s="74"/>
      <c r="I148" s="74"/>
      <c r="J148" s="67"/>
      <c r="K148" s="67"/>
      <c r="L148" s="67"/>
    </row>
    <row r="149" spans="2:12" x14ac:dyDescent="0.3">
      <c r="B149" s="74"/>
      <c r="C149" s="74" t="s">
        <v>74</v>
      </c>
      <c r="D149" s="74"/>
      <c r="E149" s="74"/>
      <c r="F149" s="74"/>
      <c r="G149" s="74"/>
      <c r="H149" s="74"/>
      <c r="I149" s="74"/>
      <c r="J149" s="67"/>
      <c r="K149" s="67"/>
      <c r="L149" s="67"/>
    </row>
    <row r="150" spans="2:12" x14ac:dyDescent="0.3">
      <c r="B150" s="74"/>
      <c r="D150" s="125" t="s">
        <v>75</v>
      </c>
      <c r="E150" s="74"/>
      <c r="F150" s="74"/>
      <c r="G150" s="74"/>
      <c r="H150" s="74"/>
      <c r="I150" s="74"/>
      <c r="J150" s="67"/>
      <c r="K150" s="67"/>
      <c r="L150" s="67"/>
    </row>
    <row r="151" spans="2:12" x14ac:dyDescent="0.3">
      <c r="B151" s="74"/>
      <c r="C151" s="108" t="s">
        <v>76</v>
      </c>
      <c r="D151" s="109">
        <f>D105+D147</f>
        <v>5.5128406917265691</v>
      </c>
      <c r="E151" s="110" t="s">
        <v>20</v>
      </c>
      <c r="F151" s="74"/>
      <c r="G151" s="74"/>
      <c r="H151" s="74"/>
      <c r="I151" s="74"/>
      <c r="J151" s="67"/>
      <c r="K151" s="67"/>
      <c r="L151" s="67"/>
    </row>
    <row r="152" spans="2:12" x14ac:dyDescent="0.3">
      <c r="B152" s="74"/>
      <c r="C152" s="74"/>
      <c r="D152" s="74"/>
      <c r="E152" s="74"/>
      <c r="F152" s="74"/>
      <c r="G152" s="74"/>
      <c r="H152" s="74"/>
      <c r="I152" s="74"/>
      <c r="J152" s="67"/>
      <c r="K152" s="67"/>
      <c r="L152" s="67"/>
    </row>
    <row r="153" spans="2:12" x14ac:dyDescent="0.3">
      <c r="B153" s="74"/>
      <c r="C153" s="74" t="s">
        <v>77</v>
      </c>
      <c r="D153" s="74"/>
      <c r="E153" s="74"/>
      <c r="F153" s="74"/>
      <c r="G153" s="74"/>
      <c r="H153" s="74"/>
      <c r="I153" s="74"/>
      <c r="J153" s="67"/>
      <c r="K153" s="67"/>
      <c r="L153" s="67"/>
    </row>
    <row r="154" spans="2:12" x14ac:dyDescent="0.3">
      <c r="B154" s="74"/>
      <c r="D154" s="125" t="s">
        <v>78</v>
      </c>
      <c r="E154" s="74"/>
      <c r="F154" s="74"/>
      <c r="G154" s="74"/>
      <c r="H154" s="74"/>
      <c r="I154" s="74"/>
      <c r="J154" s="67"/>
      <c r="K154" s="67"/>
      <c r="L154" s="67"/>
    </row>
    <row r="155" spans="2:12" x14ac:dyDescent="0.3">
      <c r="B155" s="74"/>
      <c r="C155" s="108" t="s">
        <v>79</v>
      </c>
      <c r="D155" s="109">
        <f>G6/(E138*D151)</f>
        <v>3.0906330064480256</v>
      </c>
      <c r="E155" s="110" t="s">
        <v>80</v>
      </c>
      <c r="F155" s="74"/>
      <c r="G155" s="74"/>
      <c r="H155" s="74"/>
      <c r="I155" s="74"/>
      <c r="J155" s="67"/>
      <c r="K155" s="67"/>
      <c r="L155" s="67"/>
    </row>
    <row r="156" spans="2:12" x14ac:dyDescent="0.3">
      <c r="B156" s="74"/>
      <c r="D156" s="125" t="s">
        <v>498</v>
      </c>
      <c r="E156" s="74"/>
      <c r="F156" s="74"/>
      <c r="G156" s="74"/>
      <c r="H156" s="74"/>
      <c r="I156" s="74"/>
      <c r="J156" s="67"/>
      <c r="K156" s="67"/>
      <c r="L156" s="67"/>
    </row>
    <row r="157" spans="2:12" x14ac:dyDescent="0.3">
      <c r="B157" s="74"/>
      <c r="C157" s="108" t="s">
        <v>81</v>
      </c>
      <c r="D157" s="109">
        <f>D155*D155/(2*9.81)</f>
        <v>0.48685078392181252</v>
      </c>
      <c r="E157" s="110" t="s">
        <v>20</v>
      </c>
      <c r="F157" s="74"/>
      <c r="G157" s="74"/>
      <c r="H157" s="74"/>
      <c r="I157" s="74"/>
      <c r="J157" s="67"/>
      <c r="K157" s="67"/>
      <c r="L157" s="67"/>
    </row>
    <row r="158" spans="2:12" x14ac:dyDescent="0.3">
      <c r="B158" s="74"/>
      <c r="C158" s="74"/>
      <c r="D158" s="74"/>
      <c r="E158" s="74"/>
      <c r="F158" s="74"/>
      <c r="G158" s="74"/>
      <c r="H158" s="74"/>
      <c r="I158" s="74"/>
      <c r="J158" s="67"/>
      <c r="K158" s="67"/>
      <c r="L158" s="67"/>
    </row>
    <row r="159" spans="2:12" x14ac:dyDescent="0.3">
      <c r="B159" s="74"/>
      <c r="C159" s="407" t="s">
        <v>82</v>
      </c>
      <c r="D159" s="407"/>
      <c r="E159" s="407"/>
      <c r="F159" s="407"/>
      <c r="G159" s="407"/>
      <c r="H159" s="407"/>
      <c r="I159" s="74"/>
      <c r="J159" s="67"/>
      <c r="K159" s="67"/>
      <c r="L159" s="67"/>
    </row>
    <row r="160" spans="2:12" x14ac:dyDescent="0.3">
      <c r="B160" s="74"/>
      <c r="D160" s="125" t="s">
        <v>83</v>
      </c>
      <c r="E160" s="74"/>
      <c r="F160" s="74"/>
      <c r="G160" s="74"/>
      <c r="H160" s="74"/>
      <c r="I160" s="74"/>
      <c r="J160" s="67"/>
      <c r="K160" s="67"/>
      <c r="L160" s="67"/>
    </row>
    <row r="161" spans="1:12" x14ac:dyDescent="0.3">
      <c r="B161" s="74"/>
      <c r="C161" s="108" t="s">
        <v>84</v>
      </c>
      <c r="D161" s="109">
        <f>D105+D147+D157</f>
        <v>5.9996914756483815</v>
      </c>
      <c r="E161" s="110" t="s">
        <v>20</v>
      </c>
      <c r="F161" s="74"/>
      <c r="G161" s="74"/>
      <c r="H161" s="74"/>
      <c r="I161" s="74"/>
      <c r="J161" s="67"/>
      <c r="K161" s="67"/>
      <c r="L161" s="67"/>
    </row>
    <row r="162" spans="1:12" x14ac:dyDescent="0.3">
      <c r="B162" s="67"/>
      <c r="C162" s="67"/>
      <c r="D162" s="67"/>
      <c r="E162" s="67"/>
      <c r="F162" s="67"/>
      <c r="G162" s="67"/>
      <c r="H162" s="67"/>
      <c r="I162" s="67"/>
      <c r="J162" s="67"/>
      <c r="K162" s="67"/>
      <c r="L162" s="67"/>
    </row>
    <row r="163" spans="1:12" x14ac:dyDescent="0.3">
      <c r="A163" s="113" t="s">
        <v>499</v>
      </c>
      <c r="B163" s="78"/>
      <c r="C163" s="126"/>
      <c r="D163" s="126"/>
      <c r="E163" s="126"/>
      <c r="F163" s="126"/>
      <c r="G163" s="67"/>
      <c r="H163" s="67"/>
      <c r="I163" s="67"/>
      <c r="J163" s="67"/>
      <c r="K163" s="67"/>
    </row>
    <row r="164" spans="1:12" x14ac:dyDescent="0.3">
      <c r="B164" s="74"/>
      <c r="C164" s="74"/>
      <c r="D164" s="74"/>
      <c r="E164" s="74"/>
      <c r="F164" s="74"/>
      <c r="G164" s="67"/>
      <c r="H164" s="67"/>
      <c r="I164" s="67"/>
      <c r="J164" s="67"/>
      <c r="K164" s="67"/>
      <c r="L164" s="67"/>
    </row>
    <row r="165" spans="1:12" x14ac:dyDescent="0.3">
      <c r="B165" s="75"/>
      <c r="C165" s="127" t="s">
        <v>143</v>
      </c>
      <c r="D165" s="126"/>
      <c r="E165" s="126"/>
      <c r="F165" s="126"/>
      <c r="G165" s="67"/>
      <c r="H165" s="67"/>
      <c r="I165" s="67"/>
      <c r="J165" s="67"/>
      <c r="K165" s="67"/>
      <c r="L165" s="67"/>
    </row>
    <row r="166" spans="1:12" x14ac:dyDescent="0.3">
      <c r="B166" s="74"/>
      <c r="C166" s="74" t="s">
        <v>85</v>
      </c>
      <c r="D166" s="74"/>
      <c r="E166" s="74"/>
      <c r="F166" s="74"/>
      <c r="G166" s="67"/>
      <c r="H166" s="67"/>
      <c r="I166" s="67"/>
      <c r="J166" s="67"/>
      <c r="K166" s="67"/>
      <c r="L166" s="67"/>
    </row>
    <row r="167" spans="1:12" x14ac:dyDescent="0.3">
      <c r="B167" s="74"/>
      <c r="C167" s="74"/>
      <c r="D167" s="74"/>
      <c r="E167" s="74"/>
      <c r="F167" s="74"/>
      <c r="G167" s="67"/>
      <c r="H167" s="67"/>
      <c r="I167" s="67"/>
      <c r="J167" s="67"/>
      <c r="K167" s="67"/>
      <c r="L167" s="67"/>
    </row>
    <row r="168" spans="1:12" x14ac:dyDescent="0.3">
      <c r="B168" s="74"/>
      <c r="C168" s="74"/>
      <c r="D168" s="74"/>
      <c r="E168" s="74"/>
      <c r="F168" s="74"/>
      <c r="G168" s="67"/>
      <c r="H168" s="67"/>
      <c r="I168" s="67"/>
      <c r="J168" s="67"/>
      <c r="K168" s="67"/>
      <c r="L168" s="67"/>
    </row>
    <row r="169" spans="1:12" x14ac:dyDescent="0.3">
      <c r="B169" s="74"/>
      <c r="C169" s="74"/>
      <c r="D169" s="74"/>
      <c r="E169" s="74"/>
      <c r="F169" s="74"/>
      <c r="G169" s="67"/>
      <c r="H169" s="67"/>
      <c r="I169" s="67"/>
      <c r="J169" s="67"/>
      <c r="K169" s="67"/>
      <c r="L169" s="67"/>
    </row>
    <row r="170" spans="1:12" x14ac:dyDescent="0.3">
      <c r="B170" s="74"/>
      <c r="C170" s="74" t="s">
        <v>86</v>
      </c>
      <c r="D170" s="74"/>
      <c r="E170" s="74"/>
      <c r="F170" s="74"/>
      <c r="G170" s="67"/>
      <c r="H170" s="67"/>
      <c r="I170" s="67"/>
      <c r="J170" s="67"/>
      <c r="K170" s="67"/>
      <c r="L170" s="67"/>
    </row>
    <row r="171" spans="1:12" ht="18" x14ac:dyDescent="0.35">
      <c r="B171" s="74"/>
      <c r="C171" s="128" t="s">
        <v>500</v>
      </c>
      <c r="D171" s="74"/>
      <c r="E171" s="74"/>
      <c r="F171" s="74"/>
      <c r="G171" s="67"/>
      <c r="H171" s="67"/>
      <c r="I171" s="67"/>
      <c r="J171" s="67"/>
      <c r="K171" s="67"/>
      <c r="L171" s="67"/>
    </row>
    <row r="172" spans="1:12" ht="18.75" x14ac:dyDescent="0.35">
      <c r="B172" s="74"/>
      <c r="C172" s="128" t="s">
        <v>501</v>
      </c>
      <c r="D172" s="74"/>
      <c r="E172" s="74"/>
      <c r="F172" s="74"/>
      <c r="G172" s="67"/>
      <c r="H172" s="67"/>
      <c r="I172" s="67"/>
      <c r="J172" s="67"/>
      <c r="K172" s="67"/>
      <c r="L172" s="67"/>
    </row>
    <row r="173" spans="1:12" ht="18" x14ac:dyDescent="0.35">
      <c r="B173" s="74"/>
      <c r="C173" s="128" t="s">
        <v>503</v>
      </c>
      <c r="D173" s="109">
        <f>G6/(E138*D161)</f>
        <v>2.8398405935196194</v>
      </c>
      <c r="E173" s="110" t="s">
        <v>80</v>
      </c>
      <c r="F173" s="74"/>
      <c r="G173" s="67"/>
      <c r="H173" s="67"/>
      <c r="I173" s="67"/>
      <c r="J173" s="67"/>
      <c r="K173" s="67"/>
      <c r="L173" s="67"/>
    </row>
    <row r="174" spans="1:12" ht="18" x14ac:dyDescent="0.35">
      <c r="B174" s="74"/>
      <c r="C174" s="128" t="s">
        <v>502</v>
      </c>
      <c r="D174" s="83"/>
      <c r="E174" s="74"/>
      <c r="F174" s="74"/>
      <c r="G174" s="67"/>
      <c r="H174" s="67"/>
      <c r="I174" s="67"/>
      <c r="J174" s="67"/>
      <c r="K174" s="67"/>
      <c r="L174" s="67"/>
    </row>
    <row r="175" spans="1:12" x14ac:dyDescent="0.3">
      <c r="B175" s="74"/>
      <c r="C175" s="128"/>
      <c r="D175" s="83"/>
      <c r="E175" s="74"/>
      <c r="F175" s="74"/>
      <c r="G175" s="67"/>
      <c r="H175" s="67"/>
      <c r="I175" s="67"/>
      <c r="J175" s="67"/>
      <c r="K175" s="67"/>
      <c r="L175" s="67"/>
    </row>
    <row r="176" spans="1:12" x14ac:dyDescent="0.3">
      <c r="B176" s="74"/>
      <c r="C176" s="74" t="s">
        <v>87</v>
      </c>
      <c r="D176" s="74"/>
      <c r="E176" s="74"/>
      <c r="F176" s="74"/>
      <c r="G176" s="67"/>
      <c r="H176" s="67"/>
      <c r="I176" s="67"/>
      <c r="J176" s="67"/>
      <c r="K176" s="67"/>
      <c r="L176" s="67"/>
    </row>
    <row r="177" spans="2:12" x14ac:dyDescent="0.3">
      <c r="B177" s="74"/>
      <c r="C177" s="125" t="s">
        <v>504</v>
      </c>
      <c r="D177" s="125" t="s">
        <v>505</v>
      </c>
      <c r="E177" s="125" t="s">
        <v>506</v>
      </c>
      <c r="G177" s="67"/>
      <c r="H177" s="67"/>
      <c r="I177" s="67"/>
      <c r="J177" s="67"/>
      <c r="K177" s="67"/>
      <c r="L177" s="67"/>
    </row>
    <row r="178" spans="2:12" x14ac:dyDescent="0.3">
      <c r="B178" s="74"/>
      <c r="C178" s="74"/>
      <c r="D178" s="74"/>
      <c r="E178" s="74"/>
      <c r="F178" s="74"/>
      <c r="G178" s="84"/>
      <c r="H178" s="67"/>
      <c r="I178" s="67"/>
      <c r="J178" s="67"/>
      <c r="K178" s="67"/>
      <c r="L178" s="67"/>
    </row>
    <row r="179" spans="2:12" x14ac:dyDescent="0.3">
      <c r="B179" s="74"/>
      <c r="C179" s="74" t="s">
        <v>88</v>
      </c>
      <c r="D179" s="74"/>
      <c r="E179" s="74"/>
      <c r="F179" s="74"/>
      <c r="G179" s="67"/>
      <c r="H179" s="67"/>
      <c r="I179" s="67"/>
      <c r="J179" s="67"/>
      <c r="K179" s="67"/>
      <c r="L179" s="67"/>
    </row>
    <row r="180" spans="2:12" x14ac:dyDescent="0.3">
      <c r="B180" s="74"/>
      <c r="C180" s="131">
        <f>D161+D173^2/(2*9.81)</f>
        <v>6.4107360524374677</v>
      </c>
      <c r="D180" s="81" t="s">
        <v>89</v>
      </c>
      <c r="E180" s="122" t="s">
        <v>507</v>
      </c>
      <c r="F180" s="74"/>
      <c r="G180" s="67"/>
      <c r="H180" s="67"/>
      <c r="I180" s="67"/>
      <c r="J180" s="67"/>
      <c r="K180" s="67"/>
      <c r="L180" s="67"/>
    </row>
    <row r="181" spans="2:12" x14ac:dyDescent="0.3">
      <c r="B181" s="74"/>
      <c r="C181" s="130">
        <f>C180</f>
        <v>6.4107360524374677</v>
      </c>
      <c r="D181" s="81" t="s">
        <v>89</v>
      </c>
      <c r="E181" s="130">
        <f>D182+1.1*G6^2/((2*9.81)*(D182^2*E138^2))</f>
        <v>6.4085017440538241</v>
      </c>
      <c r="F181" s="74"/>
      <c r="G181" s="67"/>
      <c r="H181" s="67"/>
      <c r="I181" s="67"/>
      <c r="J181" s="67"/>
      <c r="K181" s="67"/>
      <c r="L181" s="67"/>
    </row>
    <row r="182" spans="2:12" x14ac:dyDescent="0.3">
      <c r="B182" s="74"/>
      <c r="C182" s="108" t="s">
        <v>484</v>
      </c>
      <c r="D182" s="129">
        <v>1.9</v>
      </c>
      <c r="E182" s="110" t="s">
        <v>20</v>
      </c>
      <c r="F182" s="74"/>
      <c r="G182" s="67"/>
      <c r="H182" s="67"/>
      <c r="I182" s="67"/>
      <c r="J182" s="67"/>
      <c r="K182" s="67"/>
      <c r="L182" s="67"/>
    </row>
    <row r="183" spans="2:12" x14ac:dyDescent="0.3">
      <c r="B183" s="74"/>
      <c r="C183" s="74"/>
      <c r="D183" s="74"/>
      <c r="E183" s="74"/>
      <c r="F183" s="74"/>
      <c r="G183" s="67"/>
      <c r="H183" s="67"/>
      <c r="I183" s="67"/>
      <c r="J183" s="67"/>
      <c r="K183" s="67"/>
      <c r="L183" s="67"/>
    </row>
    <row r="184" spans="2:12" x14ac:dyDescent="0.3">
      <c r="B184" s="78"/>
      <c r="C184" s="127" t="s">
        <v>144</v>
      </c>
      <c r="D184" s="127"/>
      <c r="E184" s="127"/>
      <c r="F184" s="127"/>
      <c r="G184" s="67"/>
      <c r="H184" s="67"/>
      <c r="I184" s="67"/>
      <c r="J184" s="67"/>
      <c r="K184" s="67"/>
      <c r="L184" s="67"/>
    </row>
    <row r="185" spans="2:12" x14ac:dyDescent="0.3">
      <c r="B185" s="74"/>
      <c r="C185" s="74" t="s">
        <v>293</v>
      </c>
      <c r="D185" s="74"/>
      <c r="E185" s="74"/>
      <c r="F185" s="74"/>
      <c r="G185" s="67"/>
      <c r="H185" s="67"/>
      <c r="I185" s="67"/>
      <c r="J185" s="67"/>
      <c r="K185" s="67"/>
      <c r="L185" s="67"/>
    </row>
    <row r="186" spans="2:12" x14ac:dyDescent="0.3">
      <c r="B186" s="74"/>
      <c r="C186" s="74" t="s">
        <v>294</v>
      </c>
      <c r="D186" s="83"/>
      <c r="E186" s="74"/>
      <c r="F186" s="74"/>
      <c r="G186" s="67"/>
      <c r="H186" s="67"/>
      <c r="I186" s="67"/>
      <c r="J186" s="67"/>
      <c r="K186" s="67"/>
      <c r="L186" s="67"/>
    </row>
    <row r="187" spans="2:12" x14ac:dyDescent="0.3">
      <c r="B187" s="74"/>
      <c r="C187" s="74"/>
      <c r="D187" s="83"/>
      <c r="E187" s="74"/>
      <c r="F187" s="74"/>
      <c r="G187" s="67"/>
      <c r="H187" s="67"/>
      <c r="I187" s="67"/>
      <c r="J187" s="67"/>
    </row>
    <row r="188" spans="2:12" x14ac:dyDescent="0.3">
      <c r="B188" s="74"/>
      <c r="C188" s="74"/>
      <c r="D188" s="83"/>
      <c r="E188" s="74"/>
      <c r="F188" s="74"/>
      <c r="G188" s="67"/>
      <c r="H188" s="67"/>
      <c r="I188" s="67"/>
      <c r="J188" s="67"/>
    </row>
    <row r="189" spans="2:12" x14ac:dyDescent="0.3">
      <c r="B189" s="74"/>
      <c r="C189" s="74"/>
      <c r="D189" s="83"/>
      <c r="E189" s="74"/>
      <c r="F189" s="74"/>
      <c r="G189" s="67"/>
      <c r="H189" s="67"/>
      <c r="I189" s="67"/>
      <c r="J189" s="67"/>
    </row>
    <row r="190" spans="2:12" x14ac:dyDescent="0.3">
      <c r="B190" s="74"/>
      <c r="C190" s="108" t="s">
        <v>485</v>
      </c>
      <c r="D190" s="129">
        <f>G6/(E138*D182)</f>
        <v>8.967456526915738</v>
      </c>
      <c r="E190" s="110" t="s">
        <v>80</v>
      </c>
      <c r="F190" s="74"/>
      <c r="G190" s="67"/>
      <c r="H190" s="67"/>
      <c r="I190" s="67"/>
      <c r="J190" s="67"/>
    </row>
    <row r="191" spans="2:12" x14ac:dyDescent="0.3">
      <c r="B191" s="74"/>
      <c r="C191" s="108" t="s">
        <v>486</v>
      </c>
      <c r="D191" s="129">
        <f>-D182/2+((D182^2)/4+(2*D190^2)*D182/9.81)^(0.5)</f>
        <v>4.7114616852419644</v>
      </c>
      <c r="E191" s="110" t="s">
        <v>20</v>
      </c>
      <c r="F191" s="74"/>
      <c r="G191" s="67"/>
      <c r="H191" s="67"/>
      <c r="I191" s="67"/>
      <c r="J191" s="67"/>
    </row>
    <row r="192" spans="2:12" x14ac:dyDescent="0.3">
      <c r="H192" s="67"/>
      <c r="I192" s="67"/>
      <c r="J192" s="67"/>
    </row>
    <row r="193" spans="1:12" x14ac:dyDescent="0.3">
      <c r="A193" s="113" t="s">
        <v>508</v>
      </c>
      <c r="B193" s="78"/>
      <c r="C193" s="126"/>
      <c r="D193" s="126"/>
      <c r="E193" s="126"/>
      <c r="F193" s="126"/>
      <c r="G193" s="126"/>
      <c r="H193" s="126"/>
      <c r="I193" s="126"/>
      <c r="J193" s="126"/>
    </row>
    <row r="194" spans="1:12" x14ac:dyDescent="0.3">
      <c r="B194" s="78"/>
      <c r="C194" s="74" t="s">
        <v>145</v>
      </c>
      <c r="D194" s="78"/>
      <c r="E194" s="78"/>
      <c r="F194" s="78"/>
      <c r="G194" s="78"/>
      <c r="H194" s="74"/>
      <c r="I194" s="78"/>
      <c r="J194" s="78"/>
    </row>
    <row r="195" spans="1:12" x14ac:dyDescent="0.3">
      <c r="B195" s="78"/>
      <c r="C195" s="74"/>
      <c r="D195" s="78"/>
      <c r="E195" s="78"/>
      <c r="F195" s="78"/>
      <c r="G195" s="78"/>
      <c r="H195" s="74"/>
      <c r="I195" s="78"/>
      <c r="J195" s="78"/>
    </row>
    <row r="196" spans="1:12" x14ac:dyDescent="0.3">
      <c r="A196" s="78"/>
      <c r="B196" s="78"/>
      <c r="C196" s="132" t="s">
        <v>257</v>
      </c>
      <c r="D196" s="133" t="s">
        <v>258</v>
      </c>
      <c r="E196" s="134"/>
      <c r="F196" s="134"/>
      <c r="G196" s="135"/>
      <c r="H196" s="135"/>
      <c r="I196" s="135"/>
      <c r="J196" s="136"/>
    </row>
    <row r="197" spans="1:12" x14ac:dyDescent="0.3">
      <c r="A197" s="78"/>
      <c r="B197" s="78"/>
      <c r="C197" s="132" t="s">
        <v>259</v>
      </c>
      <c r="D197" s="139" t="s">
        <v>260</v>
      </c>
      <c r="E197" s="102"/>
      <c r="F197" s="102"/>
      <c r="G197" s="78"/>
      <c r="H197" s="78"/>
      <c r="I197" s="78"/>
      <c r="J197" s="79"/>
    </row>
    <row r="198" spans="1:12" x14ac:dyDescent="0.3">
      <c r="A198" s="78"/>
      <c r="B198" s="78"/>
      <c r="C198" s="132" t="s">
        <v>261</v>
      </c>
      <c r="D198" s="137" t="s">
        <v>262</v>
      </c>
      <c r="E198" s="134"/>
      <c r="F198" s="134"/>
      <c r="G198" s="135"/>
      <c r="H198" s="135"/>
      <c r="I198" s="135"/>
      <c r="J198" s="136"/>
    </row>
    <row r="199" spans="1:12" x14ac:dyDescent="0.3">
      <c r="A199" s="78"/>
      <c r="B199" s="78"/>
      <c r="C199" s="132" t="s">
        <v>263</v>
      </c>
      <c r="D199" s="102" t="s">
        <v>264</v>
      </c>
      <c r="E199" s="102"/>
      <c r="F199" s="102"/>
      <c r="G199" s="78"/>
      <c r="H199" s="78"/>
      <c r="I199" s="78"/>
      <c r="J199" s="79"/>
    </row>
    <row r="200" spans="1:12" x14ac:dyDescent="0.3">
      <c r="A200" s="78"/>
      <c r="B200" s="78"/>
      <c r="C200" s="132" t="s">
        <v>265</v>
      </c>
      <c r="D200" s="133" t="s">
        <v>266</v>
      </c>
      <c r="E200" s="134"/>
      <c r="F200" s="134"/>
      <c r="G200" s="135"/>
      <c r="H200" s="135"/>
      <c r="I200" s="135"/>
      <c r="J200" s="136"/>
    </row>
    <row r="201" spans="1:12" x14ac:dyDescent="0.3">
      <c r="A201" s="78"/>
      <c r="B201" s="78"/>
      <c r="C201" s="132" t="s">
        <v>267</v>
      </c>
      <c r="D201" s="133" t="s">
        <v>268</v>
      </c>
      <c r="E201" s="138"/>
      <c r="F201" s="138"/>
      <c r="G201" s="135"/>
      <c r="H201" s="135"/>
      <c r="I201" s="135"/>
      <c r="J201" s="136"/>
    </row>
    <row r="202" spans="1:12" x14ac:dyDescent="0.3">
      <c r="A202" s="78"/>
      <c r="B202" s="78"/>
      <c r="C202" s="96"/>
      <c r="D202" s="78"/>
      <c r="E202" s="78"/>
      <c r="F202" s="78"/>
      <c r="G202" s="78"/>
      <c r="H202" s="74"/>
      <c r="I202" s="78"/>
      <c r="J202" s="78"/>
      <c r="K202" s="78"/>
    </row>
    <row r="203" spans="1:12" x14ac:dyDescent="0.3">
      <c r="A203" s="78"/>
      <c r="B203" s="78"/>
      <c r="C203" s="78"/>
      <c r="D203" s="78"/>
      <c r="E203" s="78"/>
      <c r="F203" s="78"/>
      <c r="G203" s="78"/>
      <c r="H203" s="74"/>
      <c r="I203" s="78"/>
      <c r="J203" s="78"/>
      <c r="K203" s="78"/>
    </row>
    <row r="204" spans="1:12" x14ac:dyDescent="0.3">
      <c r="A204" s="78"/>
      <c r="B204" s="78"/>
      <c r="C204" s="78"/>
      <c r="D204" s="78"/>
      <c r="E204" s="78"/>
      <c r="F204" s="78"/>
      <c r="G204" s="78"/>
      <c r="H204" s="74"/>
      <c r="I204" s="78"/>
      <c r="J204" s="78"/>
      <c r="K204" s="78"/>
    </row>
    <row r="205" spans="1:12" x14ac:dyDescent="0.3">
      <c r="A205" s="78"/>
      <c r="B205" s="78"/>
      <c r="C205" s="108" t="s">
        <v>115</v>
      </c>
      <c r="D205" s="129">
        <f>D190/((9.81*D191)^(0.5))</f>
        <v>1.3190368979757807</v>
      </c>
      <c r="E205" s="141" t="str">
        <f>D197</f>
        <v>: No es necesario la posa de disipación.</v>
      </c>
      <c r="F205" s="111"/>
      <c r="G205" s="111"/>
      <c r="H205" s="74"/>
      <c r="I205" s="78"/>
      <c r="J205" s="78"/>
      <c r="K205" s="78"/>
    </row>
    <row r="206" spans="1:12" x14ac:dyDescent="0.3">
      <c r="A206" s="78"/>
      <c r="B206" s="78"/>
      <c r="C206" s="78"/>
      <c r="D206" s="78"/>
      <c r="E206" s="78"/>
      <c r="F206" s="78"/>
      <c r="G206" s="78"/>
      <c r="H206" s="74"/>
      <c r="I206" s="78"/>
      <c r="J206" s="78"/>
      <c r="K206" s="78"/>
    </row>
    <row r="207" spans="1:12" x14ac:dyDescent="0.3">
      <c r="A207" s="78"/>
      <c r="B207" s="75"/>
      <c r="C207" s="127" t="s">
        <v>146</v>
      </c>
      <c r="D207" s="127"/>
      <c r="E207" s="127"/>
      <c r="F207" s="127"/>
      <c r="G207" s="74"/>
      <c r="H207" s="74"/>
      <c r="I207" s="74"/>
      <c r="J207" s="74"/>
      <c r="K207" s="74"/>
      <c r="L207" s="67"/>
    </row>
    <row r="208" spans="1:12" x14ac:dyDescent="0.3">
      <c r="A208" s="78"/>
      <c r="B208" s="75"/>
      <c r="C208" s="75"/>
      <c r="D208" s="75"/>
      <c r="E208" s="75"/>
      <c r="F208" s="74"/>
      <c r="G208" s="74"/>
      <c r="H208" s="74"/>
      <c r="I208" s="74"/>
      <c r="J208" s="74"/>
      <c r="K208" s="74"/>
      <c r="L208" s="67"/>
    </row>
    <row r="209" spans="1:12" x14ac:dyDescent="0.3">
      <c r="A209" s="78"/>
      <c r="B209" s="75"/>
      <c r="C209" s="75"/>
      <c r="D209" s="75"/>
      <c r="E209" s="75"/>
      <c r="F209" s="74"/>
      <c r="G209" s="74"/>
      <c r="H209" s="74"/>
      <c r="I209" s="74"/>
      <c r="J209" s="74"/>
      <c r="K209" s="74"/>
      <c r="L209" s="67"/>
    </row>
    <row r="210" spans="1:12" x14ac:dyDescent="0.3">
      <c r="A210" s="78"/>
      <c r="B210" s="75"/>
      <c r="C210" s="75"/>
      <c r="D210" s="75"/>
      <c r="E210" s="75"/>
      <c r="F210" s="74"/>
      <c r="G210" s="74"/>
      <c r="H210" s="74"/>
      <c r="I210" s="74"/>
      <c r="J210" s="74"/>
      <c r="K210" s="74"/>
      <c r="L210" s="67"/>
    </row>
    <row r="211" spans="1:12" x14ac:dyDescent="0.3">
      <c r="A211" s="78"/>
      <c r="B211" s="75"/>
      <c r="C211" s="75"/>
      <c r="D211" s="75"/>
      <c r="E211" s="75"/>
      <c r="F211" s="74"/>
      <c r="G211" s="74"/>
      <c r="H211" s="74"/>
      <c r="I211" s="74"/>
      <c r="J211" s="74"/>
      <c r="K211" s="67"/>
      <c r="L211" s="67"/>
    </row>
    <row r="212" spans="1:12" x14ac:dyDescent="0.3">
      <c r="A212" s="78"/>
      <c r="B212" s="75"/>
      <c r="C212" s="75"/>
      <c r="D212" s="75"/>
      <c r="E212" s="75"/>
      <c r="F212" s="74"/>
      <c r="G212" s="74"/>
      <c r="H212" s="74"/>
      <c r="I212" s="74"/>
      <c r="J212" s="74"/>
      <c r="K212" s="67"/>
      <c r="L212" s="67"/>
    </row>
    <row r="213" spans="1:12" x14ac:dyDescent="0.3">
      <c r="A213" s="78"/>
      <c r="B213" s="75"/>
      <c r="C213" s="75"/>
      <c r="D213" s="75"/>
      <c r="E213" s="75"/>
      <c r="F213" s="74"/>
      <c r="G213" s="74"/>
      <c r="H213" s="74"/>
      <c r="I213" s="74"/>
      <c r="J213" s="74"/>
      <c r="K213" s="67"/>
      <c r="L213" s="67"/>
    </row>
    <row r="214" spans="1:12" x14ac:dyDescent="0.3">
      <c r="A214" s="78"/>
      <c r="B214" s="75"/>
      <c r="C214" s="75"/>
      <c r="D214" s="75"/>
      <c r="E214" s="75"/>
      <c r="F214" s="74"/>
      <c r="G214" s="74"/>
      <c r="H214" s="74"/>
      <c r="I214" s="74"/>
      <c r="J214" s="74"/>
      <c r="K214" s="67"/>
      <c r="L214" s="67"/>
    </row>
    <row r="215" spans="1:12" x14ac:dyDescent="0.3">
      <c r="A215" s="78"/>
      <c r="B215" s="75"/>
      <c r="C215" s="75"/>
      <c r="D215" s="75"/>
      <c r="E215" s="75"/>
      <c r="F215" s="74"/>
      <c r="G215" s="74"/>
      <c r="H215" s="74"/>
      <c r="I215" s="74"/>
      <c r="J215" s="74"/>
      <c r="K215" s="67"/>
      <c r="L215" s="67"/>
    </row>
    <row r="216" spans="1:12" x14ac:dyDescent="0.3">
      <c r="A216" s="78"/>
      <c r="B216" s="75"/>
      <c r="C216" s="75"/>
      <c r="D216" s="75"/>
      <c r="E216" s="75"/>
      <c r="F216" s="74"/>
      <c r="G216" s="74"/>
      <c r="H216" s="74"/>
      <c r="I216" s="74"/>
      <c r="J216" s="74"/>
      <c r="K216" s="67"/>
      <c r="L216" s="67"/>
    </row>
    <row r="217" spans="1:12" x14ac:dyDescent="0.3">
      <c r="A217" s="78"/>
      <c r="B217" s="75"/>
      <c r="C217" s="75"/>
      <c r="D217" s="75"/>
      <c r="E217" s="75"/>
      <c r="F217" s="74"/>
      <c r="G217" s="74"/>
      <c r="H217" s="74"/>
      <c r="I217" s="74"/>
      <c r="J217" s="74"/>
      <c r="K217" s="67"/>
      <c r="L217" s="67"/>
    </row>
    <row r="218" spans="1:12" x14ac:dyDescent="0.3">
      <c r="A218" s="78"/>
      <c r="B218" s="75"/>
      <c r="C218" s="75"/>
      <c r="D218" s="75"/>
      <c r="E218" s="75"/>
      <c r="F218" s="74"/>
      <c r="G218" s="74"/>
      <c r="H218" s="74"/>
      <c r="I218" s="74"/>
      <c r="J218" s="74"/>
      <c r="K218" s="67"/>
      <c r="L218" s="67"/>
    </row>
    <row r="219" spans="1:12" x14ac:dyDescent="0.3">
      <c r="A219" s="78"/>
      <c r="B219" s="75"/>
      <c r="C219" s="75"/>
      <c r="D219" s="75"/>
      <c r="E219" s="75"/>
      <c r="F219" s="74"/>
      <c r="G219" s="74"/>
      <c r="H219" s="74"/>
      <c r="I219" s="74"/>
      <c r="J219" s="74"/>
      <c r="K219" s="67"/>
      <c r="L219" s="67"/>
    </row>
    <row r="220" spans="1:12" x14ac:dyDescent="0.3">
      <c r="A220" s="78"/>
      <c r="B220" s="75"/>
      <c r="C220" s="75"/>
      <c r="D220" s="75"/>
      <c r="E220" s="75"/>
      <c r="F220" s="74"/>
      <c r="G220" s="74"/>
      <c r="H220" s="74"/>
      <c r="I220" s="74"/>
      <c r="J220" s="74"/>
      <c r="K220" s="67"/>
      <c r="L220" s="67"/>
    </row>
    <row r="221" spans="1:12" x14ac:dyDescent="0.3">
      <c r="A221" s="78"/>
      <c r="B221" s="75"/>
      <c r="C221" s="75"/>
      <c r="D221" s="75"/>
      <c r="E221" s="75"/>
      <c r="F221" s="74"/>
      <c r="G221" s="74"/>
      <c r="H221" s="74"/>
      <c r="I221" s="74"/>
      <c r="J221" s="74"/>
      <c r="K221" s="67"/>
      <c r="L221" s="67"/>
    </row>
    <row r="222" spans="1:12" x14ac:dyDescent="0.3">
      <c r="A222" s="78"/>
      <c r="B222" s="75"/>
      <c r="C222" s="402" t="s">
        <v>256</v>
      </c>
      <c r="D222" s="402"/>
      <c r="E222" s="402"/>
      <c r="F222" s="402"/>
      <c r="G222" s="402"/>
      <c r="H222" s="402"/>
      <c r="I222" s="74"/>
      <c r="J222" s="74"/>
      <c r="K222" s="67"/>
      <c r="L222" s="67"/>
    </row>
    <row r="223" spans="1:12" x14ac:dyDescent="0.3">
      <c r="A223" s="78"/>
      <c r="B223" s="75"/>
      <c r="C223" s="75"/>
      <c r="D223" s="75"/>
      <c r="E223" s="75"/>
      <c r="F223" s="74"/>
      <c r="G223" s="74"/>
      <c r="H223" s="74"/>
      <c r="I223" s="74"/>
      <c r="J223" s="74"/>
      <c r="K223" s="67"/>
      <c r="L223" s="67"/>
    </row>
    <row r="224" spans="1:12" x14ac:dyDescent="0.3">
      <c r="A224" s="78"/>
      <c r="B224" s="75"/>
      <c r="C224" s="75"/>
      <c r="D224" s="75"/>
      <c r="E224" s="75"/>
      <c r="F224" s="74"/>
      <c r="G224" s="74"/>
      <c r="H224" s="74"/>
      <c r="I224" s="74"/>
      <c r="J224" s="74"/>
      <c r="K224" s="67"/>
      <c r="L224" s="67"/>
    </row>
    <row r="225" spans="1:12" x14ac:dyDescent="0.3">
      <c r="A225" s="78"/>
      <c r="B225" s="75"/>
      <c r="C225" s="75"/>
      <c r="D225" s="75"/>
      <c r="E225" s="75"/>
      <c r="F225" s="74"/>
      <c r="G225" s="74"/>
      <c r="H225" s="74"/>
      <c r="I225" s="74"/>
      <c r="J225" s="74"/>
      <c r="K225" s="67"/>
      <c r="L225" s="67"/>
    </row>
    <row r="226" spans="1:12" x14ac:dyDescent="0.3">
      <c r="A226" s="78"/>
      <c r="B226" s="75"/>
      <c r="C226" s="75"/>
      <c r="D226" s="75"/>
      <c r="E226" s="75"/>
      <c r="F226" s="74"/>
      <c r="G226" s="74"/>
      <c r="H226" s="74"/>
      <c r="I226" s="74"/>
      <c r="J226" s="74"/>
      <c r="K226" s="67"/>
      <c r="L226" s="67"/>
    </row>
    <row r="227" spans="1:12" x14ac:dyDescent="0.3">
      <c r="A227" s="78"/>
      <c r="B227" s="75"/>
      <c r="C227" s="75"/>
      <c r="D227" s="75"/>
      <c r="E227" s="75"/>
      <c r="F227" s="74"/>
      <c r="G227" s="74"/>
      <c r="H227" s="74"/>
      <c r="I227" s="74"/>
      <c r="J227" s="74"/>
      <c r="K227" s="67"/>
      <c r="L227" s="67"/>
    </row>
    <row r="228" spans="1:12" x14ac:dyDescent="0.3">
      <c r="A228" s="78"/>
      <c r="B228" s="75"/>
      <c r="C228" s="75"/>
      <c r="D228" s="75"/>
      <c r="E228" s="75"/>
      <c r="F228" s="74"/>
      <c r="G228" s="74"/>
      <c r="H228" s="74"/>
      <c r="I228" s="74"/>
      <c r="J228" s="74"/>
      <c r="K228" s="67"/>
      <c r="L228" s="67"/>
    </row>
    <row r="229" spans="1:12" x14ac:dyDescent="0.3">
      <c r="A229" s="78"/>
      <c r="B229" s="75"/>
      <c r="C229" s="75"/>
      <c r="D229" s="75"/>
      <c r="E229" s="75"/>
      <c r="F229" s="74"/>
      <c r="G229" s="74"/>
      <c r="H229" s="74"/>
      <c r="I229" s="74"/>
      <c r="J229" s="74"/>
      <c r="K229" s="67"/>
      <c r="L229" s="67"/>
    </row>
    <row r="230" spans="1:12" x14ac:dyDescent="0.3">
      <c r="A230" s="78"/>
      <c r="B230" s="75"/>
      <c r="C230" s="75"/>
      <c r="D230" s="75"/>
      <c r="E230" s="75"/>
      <c r="F230" s="74"/>
      <c r="G230" s="74"/>
      <c r="H230" s="74"/>
      <c r="I230" s="74"/>
      <c r="J230" s="74"/>
      <c r="K230" s="67"/>
      <c r="L230" s="67"/>
    </row>
    <row r="231" spans="1:12" x14ac:dyDescent="0.3">
      <c r="A231" s="78"/>
      <c r="B231" s="75"/>
      <c r="C231" s="75"/>
      <c r="D231" s="75"/>
      <c r="E231" s="75"/>
      <c r="F231" s="74"/>
      <c r="G231" s="74"/>
      <c r="H231" s="74"/>
      <c r="I231" s="74"/>
      <c r="J231" s="74"/>
      <c r="K231" s="67"/>
      <c r="L231" s="67"/>
    </row>
    <row r="232" spans="1:12" x14ac:dyDescent="0.3">
      <c r="A232" s="78"/>
      <c r="B232" s="75"/>
      <c r="C232" s="75"/>
      <c r="D232" s="75"/>
      <c r="E232" s="75"/>
      <c r="F232" s="74"/>
      <c r="G232" s="74"/>
      <c r="H232" s="74"/>
      <c r="I232" s="74"/>
      <c r="J232" s="74"/>
      <c r="K232" s="67"/>
      <c r="L232" s="67"/>
    </row>
    <row r="233" spans="1:12" x14ac:dyDescent="0.3">
      <c r="A233" s="78"/>
      <c r="B233" s="75"/>
      <c r="C233" s="75"/>
      <c r="D233" s="75"/>
      <c r="E233" s="75"/>
      <c r="F233" s="74"/>
      <c r="G233" s="74"/>
      <c r="H233" s="74"/>
      <c r="I233" s="74"/>
      <c r="J233" s="74"/>
      <c r="K233" s="67"/>
      <c r="L233" s="67"/>
    </row>
    <row r="234" spans="1:12" x14ac:dyDescent="0.3">
      <c r="A234" s="78"/>
      <c r="B234" s="74"/>
      <c r="C234" s="74" t="s">
        <v>94</v>
      </c>
      <c r="D234" s="74"/>
      <c r="E234" s="74"/>
      <c r="F234" s="74"/>
      <c r="G234" s="74"/>
      <c r="H234" s="74"/>
      <c r="I234" s="74"/>
      <c r="J234" s="74"/>
      <c r="K234" s="67"/>
      <c r="L234" s="67"/>
    </row>
    <row r="235" spans="1:12" x14ac:dyDescent="0.3">
      <c r="A235" s="78"/>
      <c r="B235" s="74"/>
      <c r="C235" s="74"/>
      <c r="D235" s="74"/>
      <c r="E235" s="74"/>
      <c r="F235" s="74"/>
      <c r="G235" s="74"/>
      <c r="H235" s="74"/>
      <c r="I235" s="74"/>
      <c r="J235" s="74"/>
      <c r="K235" s="67"/>
      <c r="L235" s="67"/>
    </row>
    <row r="236" spans="1:12" x14ac:dyDescent="0.3">
      <c r="A236" s="78"/>
      <c r="B236" s="74"/>
      <c r="C236" s="144" t="s">
        <v>96</v>
      </c>
      <c r="D236" s="143" t="s">
        <v>95</v>
      </c>
      <c r="E236" s="146">
        <f>ROUND(4*D191,1)</f>
        <v>18.8</v>
      </c>
      <c r="F236" s="110" t="s">
        <v>20</v>
      </c>
      <c r="G236" s="74"/>
      <c r="H236" s="74"/>
      <c r="I236" s="74"/>
      <c r="J236" s="74"/>
      <c r="K236" s="67"/>
      <c r="L236" s="67"/>
    </row>
    <row r="237" spans="1:12" x14ac:dyDescent="0.3">
      <c r="A237" s="78"/>
      <c r="B237" s="74"/>
      <c r="C237" s="144" t="s">
        <v>98</v>
      </c>
      <c r="D237" s="143" t="s">
        <v>97</v>
      </c>
      <c r="E237" s="146">
        <f>ROUND(5*(D191-D182),1)</f>
        <v>14.1</v>
      </c>
      <c r="F237" s="110" t="s">
        <v>20</v>
      </c>
      <c r="G237" s="74"/>
      <c r="H237" s="74"/>
      <c r="I237" s="74"/>
      <c r="J237" s="74"/>
      <c r="K237" s="67"/>
      <c r="L237" s="67"/>
    </row>
    <row r="238" spans="1:12" x14ac:dyDescent="0.3">
      <c r="A238" s="78"/>
      <c r="B238" s="74"/>
      <c r="C238" s="144" t="s">
        <v>100</v>
      </c>
      <c r="D238" s="143" t="s">
        <v>99</v>
      </c>
      <c r="E238" s="146">
        <f>ROUND(4.5*D191,1)</f>
        <v>21.2</v>
      </c>
      <c r="F238" s="110" t="s">
        <v>20</v>
      </c>
      <c r="G238" s="78"/>
      <c r="H238" s="78"/>
      <c r="I238" s="74"/>
      <c r="J238" s="74"/>
      <c r="K238" s="67"/>
      <c r="L238" s="67"/>
    </row>
    <row r="239" spans="1:12" x14ac:dyDescent="0.3">
      <c r="A239" s="78"/>
      <c r="B239" s="74"/>
      <c r="C239" s="144" t="s">
        <v>101</v>
      </c>
      <c r="D239" s="143" t="s">
        <v>509</v>
      </c>
      <c r="E239" s="146">
        <f>ROUND(2.5*(1.4*D191-D182),1)</f>
        <v>11.7</v>
      </c>
      <c r="F239" s="110" t="s">
        <v>20</v>
      </c>
      <c r="G239" s="74"/>
      <c r="H239" s="97"/>
      <c r="I239" s="74"/>
      <c r="J239" s="74"/>
      <c r="K239" s="67"/>
      <c r="L239" s="67"/>
    </row>
    <row r="240" spans="1:12" x14ac:dyDescent="0.3">
      <c r="A240" s="78"/>
      <c r="B240" s="74"/>
      <c r="C240" s="74"/>
      <c r="D240" s="145" t="s">
        <v>510</v>
      </c>
      <c r="E240" s="129">
        <f>ROUND((E236+E237+E238+E239)/4,1)</f>
        <v>16.5</v>
      </c>
      <c r="F240" s="110" t="s">
        <v>20</v>
      </c>
      <c r="G240" s="74"/>
      <c r="H240" s="98"/>
      <c r="I240" s="74"/>
      <c r="J240" s="74"/>
      <c r="K240" s="67"/>
      <c r="L240" s="67"/>
    </row>
    <row r="241" spans="1:12" x14ac:dyDescent="0.3">
      <c r="A241" s="78"/>
      <c r="B241" s="74"/>
      <c r="C241" s="74"/>
      <c r="D241" s="83"/>
      <c r="E241" s="74"/>
      <c r="F241" s="74"/>
      <c r="G241" s="74"/>
      <c r="H241" s="74"/>
      <c r="I241" s="74"/>
      <c r="J241" s="74"/>
      <c r="K241" s="67"/>
      <c r="L241" s="67"/>
    </row>
    <row r="242" spans="1:12" x14ac:dyDescent="0.3">
      <c r="A242" s="78"/>
      <c r="B242" s="75"/>
      <c r="C242" s="127" t="s">
        <v>147</v>
      </c>
      <c r="D242" s="127"/>
      <c r="E242" s="127"/>
      <c r="F242" s="127"/>
      <c r="G242" s="74"/>
      <c r="H242" s="74"/>
      <c r="I242" s="74"/>
      <c r="J242" s="74"/>
      <c r="K242" s="67"/>
      <c r="L242" s="67"/>
    </row>
    <row r="243" spans="1:12" x14ac:dyDescent="0.3">
      <c r="A243" s="78"/>
      <c r="B243" s="74"/>
      <c r="C243" s="74" t="s">
        <v>102</v>
      </c>
      <c r="D243" s="74"/>
      <c r="E243" s="74"/>
      <c r="F243" s="74"/>
      <c r="G243" s="74"/>
      <c r="H243" s="74"/>
      <c r="I243" s="74"/>
      <c r="J243" s="74"/>
      <c r="K243" s="67"/>
      <c r="L243" s="67"/>
    </row>
    <row r="244" spans="1:12" x14ac:dyDescent="0.3">
      <c r="A244" s="78"/>
      <c r="B244" s="74"/>
      <c r="C244" s="99"/>
      <c r="D244" s="74"/>
      <c r="E244" s="74"/>
      <c r="F244" s="149" t="s">
        <v>104</v>
      </c>
      <c r="G244" s="150">
        <f>(1.1+1.2)/2</f>
        <v>1.1499999999999999</v>
      </c>
      <c r="H244" s="74"/>
      <c r="I244" s="74"/>
      <c r="J244" s="74"/>
      <c r="K244" s="67"/>
      <c r="L244" s="67"/>
    </row>
    <row r="245" spans="1:12" ht="18" x14ac:dyDescent="0.3">
      <c r="A245" s="78"/>
      <c r="B245" s="74"/>
      <c r="C245" s="148" t="s">
        <v>511</v>
      </c>
      <c r="D245" s="147"/>
      <c r="F245" s="149" t="s">
        <v>513</v>
      </c>
      <c r="G245" s="150">
        <v>0</v>
      </c>
      <c r="H245" s="74"/>
      <c r="I245" s="74"/>
      <c r="J245" s="74"/>
      <c r="K245" s="67"/>
      <c r="L245" s="67"/>
    </row>
    <row r="246" spans="1:12" x14ac:dyDescent="0.3">
      <c r="A246" s="78"/>
      <c r="B246" s="74"/>
      <c r="C246" s="108" t="s">
        <v>105</v>
      </c>
      <c r="D246" s="129">
        <f>G244*D191-(D147-G245)</f>
        <v>1.0053402463016896</v>
      </c>
      <c r="E246" s="110" t="s">
        <v>20</v>
      </c>
      <c r="F246" s="149" t="s">
        <v>512</v>
      </c>
      <c r="G246" s="150">
        <v>0.9</v>
      </c>
      <c r="H246" s="74"/>
      <c r="I246" s="74"/>
      <c r="J246" s="74"/>
      <c r="K246" s="67"/>
      <c r="L246" s="67"/>
    </row>
    <row r="247" spans="1:12" x14ac:dyDescent="0.3">
      <c r="A247" s="78"/>
      <c r="B247" s="74"/>
      <c r="C247" s="78"/>
      <c r="D247" s="74"/>
      <c r="E247" s="74"/>
      <c r="F247" s="74"/>
      <c r="G247" s="74"/>
      <c r="H247" s="74"/>
      <c r="I247" s="74"/>
      <c r="J247" s="74"/>
      <c r="K247" s="67"/>
      <c r="L247" s="67"/>
    </row>
    <row r="248" spans="1:12" x14ac:dyDescent="0.3">
      <c r="A248" s="78"/>
      <c r="B248" s="74"/>
      <c r="C248" s="74" t="s">
        <v>106</v>
      </c>
      <c r="D248" s="74"/>
      <c r="E248" s="74"/>
      <c r="F248" s="74"/>
      <c r="G248" s="74"/>
      <c r="H248" s="74"/>
      <c r="I248" s="74"/>
      <c r="J248" s="74"/>
      <c r="K248" s="67"/>
      <c r="L248" s="67"/>
    </row>
    <row r="249" spans="1:12" x14ac:dyDescent="0.3">
      <c r="A249" s="78"/>
      <c r="B249" s="74"/>
      <c r="C249" s="74"/>
      <c r="D249" s="74"/>
      <c r="E249" s="74"/>
      <c r="F249" s="74"/>
      <c r="G249" s="74"/>
      <c r="H249" s="74"/>
      <c r="I249" s="74"/>
      <c r="J249" s="74"/>
      <c r="K249" s="67"/>
      <c r="L249" s="67"/>
    </row>
    <row r="250" spans="1:12" x14ac:dyDescent="0.3">
      <c r="A250" s="78"/>
      <c r="B250" s="74"/>
      <c r="C250" s="46"/>
      <c r="D250" s="74"/>
      <c r="E250" s="74"/>
      <c r="F250" s="74"/>
      <c r="G250" s="74"/>
      <c r="H250" s="74"/>
      <c r="I250" s="74"/>
      <c r="J250" s="74"/>
      <c r="K250" s="67"/>
      <c r="L250" s="67"/>
    </row>
    <row r="251" spans="1:12" x14ac:dyDescent="0.3">
      <c r="A251" s="78"/>
      <c r="B251" s="74"/>
      <c r="C251" s="74"/>
      <c r="D251" s="74"/>
      <c r="E251" s="74"/>
      <c r="F251" s="74"/>
      <c r="G251" s="74"/>
      <c r="H251" s="74"/>
      <c r="I251" s="74"/>
      <c r="J251" s="74"/>
      <c r="K251" s="67"/>
      <c r="L251" s="67"/>
    </row>
    <row r="252" spans="1:12" x14ac:dyDescent="0.3">
      <c r="A252" s="78"/>
      <c r="B252" s="74"/>
      <c r="C252" s="74"/>
      <c r="D252" s="74"/>
      <c r="E252" s="74"/>
      <c r="F252" s="74"/>
      <c r="G252" s="74"/>
      <c r="H252" s="74"/>
      <c r="I252" s="74"/>
      <c r="J252" s="74"/>
      <c r="K252" s="67"/>
      <c r="L252" s="67"/>
    </row>
    <row r="253" spans="1:12" x14ac:dyDescent="0.3">
      <c r="A253" s="78"/>
      <c r="B253" s="74"/>
      <c r="C253" s="74"/>
      <c r="D253" s="74"/>
      <c r="E253" s="74"/>
      <c r="F253" s="74"/>
      <c r="G253" s="74"/>
      <c r="H253" s="74"/>
      <c r="I253" s="74"/>
      <c r="J253" s="74"/>
      <c r="K253" s="67"/>
      <c r="L253" s="67"/>
    </row>
    <row r="254" spans="1:12" x14ac:dyDescent="0.3">
      <c r="A254" s="78"/>
      <c r="B254" s="74"/>
      <c r="C254" s="74"/>
      <c r="D254" s="74"/>
      <c r="E254" s="74"/>
      <c r="F254" s="74"/>
      <c r="G254" s="74"/>
      <c r="H254" s="74"/>
      <c r="I254" s="74"/>
      <c r="J254" s="74"/>
      <c r="K254" s="67"/>
      <c r="L254" s="67"/>
    </row>
    <row r="255" spans="1:12" x14ac:dyDescent="0.3">
      <c r="A255" s="78"/>
      <c r="B255" s="74"/>
      <c r="C255" s="74"/>
      <c r="D255" s="74"/>
      <c r="E255" s="74"/>
      <c r="F255" s="74"/>
      <c r="G255" s="74"/>
      <c r="H255" s="74"/>
      <c r="I255" s="74"/>
      <c r="J255" s="74"/>
      <c r="K255" s="67"/>
      <c r="L255" s="67"/>
    </row>
    <row r="256" spans="1:12" x14ac:dyDescent="0.3">
      <c r="A256" s="78"/>
      <c r="B256" s="74"/>
      <c r="C256" s="74"/>
      <c r="D256" s="74"/>
      <c r="E256" s="74"/>
      <c r="F256" s="74"/>
      <c r="G256" s="74"/>
      <c r="H256" s="74"/>
      <c r="I256" s="74"/>
      <c r="J256" s="74"/>
      <c r="K256" s="67"/>
      <c r="L256" s="67"/>
    </row>
    <row r="257" spans="1:12" x14ac:dyDescent="0.3">
      <c r="A257" s="78"/>
      <c r="B257" s="74"/>
      <c r="C257" s="74"/>
      <c r="D257" s="74"/>
      <c r="E257" s="74"/>
      <c r="F257" s="74"/>
      <c r="G257" s="74"/>
      <c r="H257" s="74"/>
      <c r="I257" s="74"/>
      <c r="J257" s="74"/>
      <c r="K257" s="67"/>
      <c r="L257" s="67"/>
    </row>
    <row r="258" spans="1:12" x14ac:dyDescent="0.3">
      <c r="A258" s="78"/>
      <c r="B258" s="74"/>
      <c r="C258" s="148" t="s">
        <v>514</v>
      </c>
      <c r="D258" s="147"/>
      <c r="F258" s="74"/>
      <c r="G258" s="74"/>
      <c r="H258" s="74"/>
      <c r="I258" s="74"/>
      <c r="J258" s="74"/>
      <c r="K258" s="67"/>
      <c r="L258" s="67"/>
    </row>
    <row r="259" spans="1:12" x14ac:dyDescent="0.3">
      <c r="A259" s="78"/>
      <c r="B259" s="74"/>
      <c r="C259" s="108" t="s">
        <v>107</v>
      </c>
      <c r="D259" s="129">
        <f>(D105+D147)-D182</f>
        <v>3.6128406917265692</v>
      </c>
      <c r="E259" s="110" t="s">
        <v>20</v>
      </c>
      <c r="F259" s="74"/>
      <c r="G259" s="74"/>
      <c r="H259" s="74"/>
      <c r="I259" s="74"/>
      <c r="J259" s="74"/>
      <c r="K259" s="67"/>
      <c r="L259" s="67"/>
    </row>
    <row r="260" spans="1:12" x14ac:dyDescent="0.3">
      <c r="A260" s="78"/>
      <c r="B260" s="74"/>
      <c r="C260" s="78"/>
      <c r="D260" s="78"/>
      <c r="E260" s="78"/>
      <c r="F260" s="46"/>
      <c r="G260" s="74"/>
      <c r="H260" s="74"/>
      <c r="I260" s="74"/>
      <c r="J260" s="74"/>
      <c r="K260" s="67"/>
      <c r="L260" s="67"/>
    </row>
    <row r="261" spans="1:12" x14ac:dyDescent="0.3">
      <c r="A261" s="78"/>
      <c r="B261" s="74"/>
      <c r="C261" s="74" t="s">
        <v>108</v>
      </c>
      <c r="D261" s="74"/>
      <c r="E261" s="74"/>
      <c r="F261" s="74"/>
      <c r="G261" s="74"/>
      <c r="H261" s="74"/>
      <c r="I261" s="74"/>
      <c r="J261" s="74"/>
      <c r="K261" s="67"/>
      <c r="L261" s="67"/>
    </row>
    <row r="262" spans="1:12" x14ac:dyDescent="0.3">
      <c r="A262" s="78"/>
      <c r="B262" s="74"/>
      <c r="C262" s="74"/>
      <c r="D262" s="74"/>
      <c r="E262" s="74"/>
      <c r="F262" s="74"/>
      <c r="G262" s="74"/>
      <c r="H262" s="74"/>
      <c r="I262" s="74"/>
      <c r="J262" s="74"/>
      <c r="K262" s="67"/>
      <c r="L262" s="67"/>
    </row>
    <row r="263" spans="1:12" x14ac:dyDescent="0.3">
      <c r="A263" s="78"/>
      <c r="B263" s="74"/>
      <c r="C263" s="108" t="s">
        <v>109</v>
      </c>
      <c r="D263" s="129">
        <f>G6/E138</f>
        <v>17.038167401139901</v>
      </c>
      <c r="E263" s="110" t="s">
        <v>110</v>
      </c>
      <c r="F263" s="122" t="s">
        <v>515</v>
      </c>
      <c r="G263" s="74"/>
      <c r="H263" s="74"/>
      <c r="I263" s="74"/>
      <c r="J263" s="74"/>
      <c r="K263" s="67"/>
      <c r="L263" s="67"/>
    </row>
    <row r="264" spans="1:12" x14ac:dyDescent="0.3">
      <c r="A264" s="78"/>
      <c r="B264" s="74"/>
      <c r="C264" s="74"/>
      <c r="D264" s="74"/>
      <c r="E264" s="74"/>
      <c r="F264" s="74"/>
      <c r="G264" s="74"/>
      <c r="H264" s="74"/>
      <c r="I264" s="74"/>
      <c r="J264" s="74"/>
      <c r="K264" s="67"/>
      <c r="L264" s="67"/>
    </row>
    <row r="265" spans="1:12" x14ac:dyDescent="0.3">
      <c r="A265" s="78"/>
      <c r="B265" s="74"/>
      <c r="C265" s="46"/>
      <c r="D265" s="74"/>
      <c r="E265" s="83"/>
      <c r="F265" s="74"/>
      <c r="G265" s="74"/>
      <c r="H265" s="74"/>
      <c r="I265" s="74"/>
      <c r="J265" s="74"/>
      <c r="K265" s="67"/>
      <c r="L265" s="67"/>
    </row>
    <row r="266" spans="1:12" x14ac:dyDescent="0.3">
      <c r="A266" s="78"/>
      <c r="B266" s="74"/>
      <c r="C266" s="74"/>
      <c r="D266" s="74"/>
      <c r="E266" s="74"/>
      <c r="F266" s="74"/>
      <c r="G266" s="74"/>
      <c r="H266" s="74"/>
      <c r="I266" s="74"/>
      <c r="J266" s="74"/>
      <c r="K266" s="67"/>
      <c r="L266" s="67"/>
    </row>
    <row r="267" spans="1:12" x14ac:dyDescent="0.3">
      <c r="A267" s="78"/>
      <c r="B267" s="74"/>
      <c r="C267" s="108" t="s">
        <v>111</v>
      </c>
      <c r="D267" s="129">
        <f>(2*9.81*D259)^(0.5)</f>
        <v>8.4192597282466171</v>
      </c>
      <c r="E267" s="110" t="s">
        <v>80</v>
      </c>
      <c r="F267" s="74"/>
      <c r="G267" s="74"/>
      <c r="H267" s="74"/>
      <c r="I267" s="74"/>
      <c r="J267" s="74"/>
      <c r="K267" s="67"/>
      <c r="L267" s="67"/>
    </row>
    <row r="268" spans="1:12" x14ac:dyDescent="0.3">
      <c r="A268" s="78"/>
      <c r="B268" s="74"/>
      <c r="C268" s="78"/>
      <c r="D268" s="74"/>
      <c r="E268" s="74"/>
      <c r="F268" s="74"/>
      <c r="G268" s="74"/>
      <c r="H268" s="74"/>
      <c r="I268" s="74"/>
      <c r="J268" s="74"/>
      <c r="K268" s="67"/>
      <c r="L268" s="67"/>
    </row>
    <row r="269" spans="1:12" x14ac:dyDescent="0.3">
      <c r="A269" s="78"/>
      <c r="B269" s="74"/>
      <c r="C269" s="74" t="s">
        <v>112</v>
      </c>
      <c r="D269" s="74"/>
      <c r="E269" s="74"/>
      <c r="F269" s="74"/>
      <c r="G269" s="74"/>
      <c r="H269" s="74"/>
      <c r="I269" s="74"/>
      <c r="J269" s="74"/>
      <c r="K269" s="67"/>
      <c r="L269" s="67"/>
    </row>
    <row r="270" spans="1:12" x14ac:dyDescent="0.3">
      <c r="A270" s="78"/>
      <c r="B270" s="74"/>
      <c r="C270" s="74"/>
      <c r="D270" s="74"/>
      <c r="E270" s="74"/>
      <c r="F270" s="74"/>
      <c r="G270" s="74"/>
      <c r="H270" s="74"/>
      <c r="I270" s="74"/>
      <c r="J270" s="74"/>
      <c r="K270" s="67"/>
      <c r="L270" s="67"/>
    </row>
    <row r="271" spans="1:12" x14ac:dyDescent="0.3">
      <c r="A271" s="78"/>
      <c r="B271" s="74"/>
      <c r="C271" s="108" t="s">
        <v>113</v>
      </c>
      <c r="D271" s="129">
        <f>D263/D267</f>
        <v>2.0237132421484572</v>
      </c>
      <c r="E271" s="110" t="s">
        <v>20</v>
      </c>
      <c r="F271" s="74"/>
      <c r="G271" s="74"/>
      <c r="H271" s="74"/>
      <c r="I271" s="74"/>
      <c r="J271" s="74"/>
      <c r="K271" s="67"/>
      <c r="L271" s="67"/>
    </row>
    <row r="272" spans="1:12" x14ac:dyDescent="0.3">
      <c r="A272" s="78"/>
      <c r="B272" s="74"/>
      <c r="C272" s="74"/>
      <c r="D272" s="74"/>
      <c r="E272" s="74"/>
      <c r="F272" s="74"/>
      <c r="G272" s="74"/>
      <c r="H272" s="74"/>
      <c r="I272" s="74"/>
      <c r="J272" s="74"/>
      <c r="K272" s="67"/>
      <c r="L272" s="67"/>
    </row>
    <row r="273" spans="1:12" x14ac:dyDescent="0.3">
      <c r="A273" s="78"/>
      <c r="B273" s="74"/>
      <c r="C273" s="74" t="s">
        <v>114</v>
      </c>
      <c r="D273" s="74"/>
      <c r="E273" s="74"/>
      <c r="F273" s="74"/>
      <c r="G273" s="74"/>
      <c r="H273" s="74"/>
      <c r="I273" s="74"/>
      <c r="J273" s="74"/>
      <c r="K273" s="67"/>
      <c r="L273" s="67"/>
    </row>
    <row r="274" spans="1:12" x14ac:dyDescent="0.3">
      <c r="A274" s="78"/>
      <c r="B274" s="74"/>
      <c r="C274" s="74"/>
      <c r="D274" s="74"/>
      <c r="E274" s="74"/>
      <c r="F274" s="74"/>
      <c r="G274" s="74"/>
      <c r="H274" s="74"/>
      <c r="I274" s="74"/>
      <c r="J274" s="74"/>
      <c r="K274" s="67"/>
      <c r="L274" s="67"/>
    </row>
    <row r="275" spans="1:12" x14ac:dyDescent="0.3">
      <c r="A275" s="78"/>
      <c r="B275" s="74"/>
      <c r="C275" s="46"/>
      <c r="D275" s="74"/>
      <c r="E275" s="74"/>
      <c r="F275" s="74"/>
      <c r="G275" s="74"/>
      <c r="H275" s="74"/>
      <c r="I275" s="74"/>
      <c r="J275" s="74"/>
      <c r="K275" s="67"/>
      <c r="L275" s="67"/>
    </row>
    <row r="276" spans="1:12" x14ac:dyDescent="0.3">
      <c r="A276" s="78"/>
      <c r="B276" s="74"/>
      <c r="C276" s="74"/>
      <c r="D276" s="74"/>
      <c r="E276" s="74"/>
      <c r="F276" s="74"/>
      <c r="G276" s="74"/>
      <c r="H276" s="74"/>
      <c r="I276" s="74"/>
      <c r="J276" s="74"/>
      <c r="K276" s="67"/>
      <c r="L276" s="67"/>
    </row>
    <row r="277" spans="1:12" x14ac:dyDescent="0.3">
      <c r="A277" s="78"/>
      <c r="B277" s="74"/>
      <c r="C277" s="108" t="s">
        <v>115</v>
      </c>
      <c r="D277" s="129">
        <f>D267/(9.81*D271)^(0.5)</f>
        <v>1.8895784049722595</v>
      </c>
      <c r="E277" s="151" t="s">
        <v>116</v>
      </c>
      <c r="F277" s="74"/>
      <c r="G277" s="74"/>
      <c r="H277" s="74"/>
      <c r="I277" s="74"/>
      <c r="J277" s="74"/>
      <c r="K277" s="67"/>
      <c r="L277" s="67"/>
    </row>
    <row r="278" spans="1:12" x14ac:dyDescent="0.3">
      <c r="A278" s="78"/>
      <c r="B278" s="74"/>
      <c r="C278" s="74"/>
      <c r="D278" s="74"/>
      <c r="E278" s="74"/>
      <c r="F278" s="74"/>
      <c r="G278" s="74"/>
      <c r="H278" s="74"/>
      <c r="I278" s="74"/>
      <c r="J278" s="74"/>
      <c r="K278" s="67"/>
      <c r="L278" s="67"/>
    </row>
    <row r="279" spans="1:12" x14ac:dyDescent="0.3">
      <c r="A279" s="78"/>
      <c r="B279" s="74"/>
      <c r="C279" s="74" t="s">
        <v>117</v>
      </c>
      <c r="D279" s="74"/>
      <c r="E279" s="74"/>
      <c r="F279" s="74"/>
      <c r="G279" s="74"/>
      <c r="H279" s="74"/>
      <c r="I279" s="74"/>
      <c r="J279" s="74"/>
      <c r="K279" s="67"/>
      <c r="L279" s="67"/>
    </row>
    <row r="280" spans="1:12" x14ac:dyDescent="0.3">
      <c r="A280" s="78"/>
      <c r="B280" s="74"/>
      <c r="C280" s="46"/>
      <c r="D280" s="74"/>
      <c r="E280" s="74"/>
      <c r="F280" s="74"/>
      <c r="G280" s="74"/>
      <c r="H280" s="74"/>
      <c r="I280" s="74"/>
      <c r="J280" s="74"/>
      <c r="K280" s="67"/>
      <c r="L280" s="67"/>
    </row>
    <row r="281" spans="1:12" x14ac:dyDescent="0.3">
      <c r="A281" s="78"/>
      <c r="B281" s="74"/>
      <c r="C281" s="74"/>
      <c r="D281" s="152">
        <v>0.65</v>
      </c>
      <c r="E281" s="74"/>
      <c r="F281" s="74"/>
      <c r="G281" s="74"/>
      <c r="H281" s="74"/>
      <c r="I281" s="74"/>
      <c r="J281" s="74"/>
      <c r="K281" s="67"/>
      <c r="L281" s="67"/>
    </row>
    <row r="282" spans="1:12" x14ac:dyDescent="0.3">
      <c r="A282" s="78"/>
      <c r="B282" s="74"/>
      <c r="C282" s="74"/>
      <c r="D282" s="74"/>
      <c r="E282" s="74"/>
      <c r="F282" s="74"/>
      <c r="G282" s="74"/>
      <c r="H282" s="74"/>
      <c r="I282" s="74"/>
      <c r="J282" s="74"/>
      <c r="K282" s="67"/>
      <c r="L282" s="67"/>
    </row>
    <row r="283" spans="1:12" x14ac:dyDescent="0.3">
      <c r="A283" s="78"/>
      <c r="B283" s="74"/>
      <c r="C283" s="108" t="s">
        <v>51</v>
      </c>
      <c r="D283" s="129">
        <f>(D281)*(D271+D259)</f>
        <v>3.6637600570187674</v>
      </c>
      <c r="E283" s="110" t="s">
        <v>20</v>
      </c>
      <c r="F283" s="74"/>
      <c r="G283" s="74"/>
      <c r="H283" s="74"/>
      <c r="I283" s="74"/>
      <c r="J283" s="74"/>
      <c r="K283" s="67"/>
      <c r="L283" s="67"/>
    </row>
    <row r="284" spans="1:12" x14ac:dyDescent="0.3">
      <c r="A284" s="78"/>
      <c r="B284" s="74"/>
      <c r="C284" s="74"/>
      <c r="D284" s="83"/>
      <c r="E284" s="74"/>
      <c r="F284" s="74"/>
      <c r="G284" s="74"/>
      <c r="H284" s="74"/>
      <c r="I284" s="74"/>
      <c r="J284" s="74"/>
      <c r="K284" s="67"/>
      <c r="L284" s="67"/>
    </row>
    <row r="285" spans="1:12" x14ac:dyDescent="0.3">
      <c r="A285" s="78"/>
      <c r="B285" s="75"/>
      <c r="C285" s="127" t="s">
        <v>148</v>
      </c>
      <c r="D285" s="127"/>
      <c r="E285" s="127"/>
      <c r="F285" s="127"/>
      <c r="G285" s="74"/>
      <c r="H285" s="74"/>
      <c r="I285" s="74"/>
      <c r="J285" s="74"/>
      <c r="K285" s="67"/>
      <c r="L285" s="67"/>
    </row>
    <row r="286" spans="1:12" x14ac:dyDescent="0.3">
      <c r="A286" s="78"/>
      <c r="B286" s="74"/>
      <c r="C286" s="46"/>
      <c r="D286" s="74"/>
      <c r="E286" s="74"/>
      <c r="F286" s="74"/>
      <c r="G286" s="74"/>
      <c r="H286" s="74"/>
      <c r="I286" s="74"/>
      <c r="J286" s="74"/>
      <c r="K286" s="67"/>
      <c r="L286" s="67"/>
    </row>
    <row r="287" spans="1:12" x14ac:dyDescent="0.3">
      <c r="A287" s="78"/>
      <c r="B287" s="74"/>
      <c r="C287" s="74"/>
      <c r="D287" s="74"/>
      <c r="E287" s="74"/>
      <c r="F287" s="74"/>
      <c r="G287" s="74"/>
      <c r="H287" s="74"/>
      <c r="I287" s="74"/>
      <c r="J287" s="74"/>
      <c r="K287" s="67"/>
      <c r="L287" s="67"/>
    </row>
    <row r="288" spans="1:12" x14ac:dyDescent="0.3">
      <c r="A288" s="78"/>
      <c r="B288" s="74"/>
      <c r="C288" s="74"/>
      <c r="D288" s="74"/>
      <c r="E288" s="74"/>
      <c r="F288" s="74"/>
      <c r="G288" s="74"/>
      <c r="H288" s="74"/>
      <c r="I288" s="74"/>
      <c r="J288" s="74"/>
      <c r="K288" s="67"/>
      <c r="L288" s="67"/>
    </row>
    <row r="289" spans="1:12" x14ac:dyDescent="0.3">
      <c r="A289" s="78"/>
      <c r="B289" s="74"/>
      <c r="C289" s="74"/>
      <c r="D289" s="74"/>
      <c r="E289" s="74"/>
      <c r="F289" s="74"/>
      <c r="G289" s="74"/>
      <c r="H289" s="74"/>
      <c r="I289" s="74"/>
      <c r="J289" s="74"/>
      <c r="K289" s="67"/>
      <c r="L289" s="67"/>
    </row>
    <row r="290" spans="1:12" x14ac:dyDescent="0.3">
      <c r="A290" s="78"/>
      <c r="B290" s="74"/>
      <c r="C290" s="74"/>
      <c r="D290" s="74"/>
      <c r="E290" s="74"/>
      <c r="F290" s="74"/>
      <c r="G290" s="74"/>
      <c r="H290" s="74"/>
      <c r="I290" s="74"/>
      <c r="J290" s="74"/>
      <c r="K290" s="67"/>
      <c r="L290" s="67"/>
    </row>
    <row r="291" spans="1:12" x14ac:dyDescent="0.3">
      <c r="A291" s="78"/>
      <c r="B291" s="74"/>
      <c r="C291" s="74"/>
      <c r="D291" s="74"/>
      <c r="E291" s="74"/>
      <c r="F291" s="74"/>
      <c r="G291" s="74"/>
      <c r="H291" s="74"/>
      <c r="I291" s="74"/>
      <c r="J291" s="74"/>
      <c r="K291" s="67"/>
      <c r="L291" s="67"/>
    </row>
    <row r="292" spans="1:12" x14ac:dyDescent="0.3">
      <c r="A292" s="78"/>
      <c r="B292" s="74"/>
      <c r="C292" s="74"/>
      <c r="D292" s="74"/>
      <c r="E292" s="74"/>
      <c r="F292" s="74"/>
      <c r="G292" s="74"/>
      <c r="H292" s="74"/>
      <c r="I292" s="74"/>
      <c r="J292" s="74"/>
      <c r="K292" s="67"/>
      <c r="L292" s="67"/>
    </row>
    <row r="293" spans="1:12" x14ac:dyDescent="0.3">
      <c r="A293" s="78"/>
      <c r="B293" s="74"/>
      <c r="C293" s="74" t="s">
        <v>118</v>
      </c>
      <c r="D293" s="74"/>
      <c r="E293" s="74"/>
      <c r="F293" s="74"/>
      <c r="G293" s="74"/>
      <c r="H293" s="74"/>
      <c r="I293" s="74"/>
      <c r="J293" s="74"/>
      <c r="K293" s="67"/>
      <c r="L293" s="67"/>
    </row>
    <row r="294" spans="1:12" x14ac:dyDescent="0.3">
      <c r="A294" s="78"/>
      <c r="B294" s="74"/>
      <c r="C294" s="74"/>
      <c r="D294" s="74"/>
      <c r="E294" s="74"/>
      <c r="F294" s="74"/>
      <c r="G294" s="74"/>
      <c r="H294" s="74"/>
      <c r="I294" s="74"/>
      <c r="J294" s="74"/>
      <c r="K294" s="67"/>
      <c r="L294" s="67"/>
    </row>
    <row r="295" spans="1:12" x14ac:dyDescent="0.3">
      <c r="A295" s="78"/>
      <c r="B295" s="74"/>
      <c r="C295" s="46"/>
      <c r="D295" s="74"/>
      <c r="E295" s="74"/>
      <c r="F295" s="74"/>
      <c r="G295" s="74"/>
      <c r="H295" s="74"/>
      <c r="I295" s="74"/>
      <c r="J295" s="74"/>
      <c r="K295" s="67"/>
      <c r="L295" s="67"/>
    </row>
    <row r="296" spans="1:12" x14ac:dyDescent="0.3">
      <c r="A296" s="78"/>
      <c r="B296" s="74"/>
      <c r="C296" s="74"/>
      <c r="D296" s="74"/>
      <c r="E296" s="74"/>
      <c r="F296" s="74"/>
      <c r="G296" s="74"/>
      <c r="H296" s="74"/>
      <c r="I296" s="74"/>
      <c r="J296" s="74"/>
      <c r="K296" s="67"/>
      <c r="L296" s="67"/>
    </row>
    <row r="297" spans="1:12" x14ac:dyDescent="0.3">
      <c r="A297" s="78"/>
      <c r="B297" s="74"/>
      <c r="C297" s="74"/>
      <c r="D297" s="74"/>
      <c r="E297" s="74"/>
      <c r="F297" s="74"/>
      <c r="G297" s="74"/>
      <c r="H297" s="74"/>
      <c r="I297" s="74"/>
      <c r="J297" s="74"/>
      <c r="K297" s="67"/>
      <c r="L297" s="67"/>
    </row>
    <row r="298" spans="1:12" x14ac:dyDescent="0.3">
      <c r="A298" s="78"/>
      <c r="B298" s="74"/>
      <c r="C298" s="123" t="s">
        <v>119</v>
      </c>
      <c r="D298" s="122" t="s">
        <v>120</v>
      </c>
      <c r="E298" s="74"/>
      <c r="F298" s="74"/>
      <c r="G298" s="74"/>
      <c r="H298" s="74"/>
      <c r="I298" s="74"/>
      <c r="J298" s="74"/>
      <c r="K298" s="67"/>
      <c r="L298" s="67"/>
    </row>
    <row r="299" spans="1:12" x14ac:dyDescent="0.3">
      <c r="A299" s="78"/>
      <c r="B299" s="74"/>
      <c r="C299" s="123" t="s">
        <v>121</v>
      </c>
      <c r="D299" s="122" t="s">
        <v>122</v>
      </c>
      <c r="E299" s="74"/>
      <c r="F299" s="74"/>
      <c r="G299" s="74"/>
      <c r="H299" s="74"/>
      <c r="I299" s="74"/>
      <c r="J299" s="74"/>
      <c r="K299" s="67"/>
      <c r="L299" s="67"/>
    </row>
    <row r="300" spans="1:12" x14ac:dyDescent="0.3">
      <c r="A300" s="78"/>
      <c r="B300" s="74"/>
      <c r="C300" s="153" t="s">
        <v>124</v>
      </c>
      <c r="D300" s="124" t="s">
        <v>123</v>
      </c>
      <c r="E300" s="74"/>
      <c r="F300" s="74"/>
      <c r="G300" s="74"/>
      <c r="H300" s="74"/>
      <c r="I300" s="74"/>
      <c r="J300" s="74"/>
      <c r="K300" s="67"/>
      <c r="L300" s="67"/>
    </row>
    <row r="301" spans="1:12" x14ac:dyDescent="0.3">
      <c r="A301" s="78"/>
      <c r="B301" s="74"/>
      <c r="C301" s="154" t="s">
        <v>516</v>
      </c>
      <c r="D301" s="124" t="s">
        <v>127</v>
      </c>
      <c r="E301" s="74"/>
      <c r="F301" s="74"/>
      <c r="G301" s="82"/>
      <c r="H301" s="101">
        <v>3.5</v>
      </c>
      <c r="J301" s="74"/>
      <c r="K301" s="67"/>
      <c r="L301" s="67"/>
    </row>
    <row r="302" spans="1:12" x14ac:dyDescent="0.3">
      <c r="A302" s="78"/>
      <c r="B302" s="74"/>
      <c r="C302" s="74"/>
      <c r="D302" s="74"/>
      <c r="E302" s="74"/>
      <c r="F302" s="74"/>
      <c r="G302" s="74"/>
      <c r="H302" s="74"/>
      <c r="I302" s="74"/>
      <c r="J302" s="74"/>
      <c r="K302" s="67"/>
      <c r="L302" s="67"/>
    </row>
    <row r="303" spans="1:12" x14ac:dyDescent="0.3">
      <c r="A303" s="78"/>
      <c r="B303" s="74"/>
      <c r="C303" s="108" t="s">
        <v>125</v>
      </c>
      <c r="D303" s="129">
        <f>D147-D182</f>
        <v>2.5128406917265695</v>
      </c>
      <c r="E303" s="110" t="s">
        <v>20</v>
      </c>
      <c r="F303" s="74"/>
      <c r="G303" s="74"/>
      <c r="H303" s="74"/>
      <c r="I303" s="74"/>
      <c r="J303" s="74"/>
      <c r="K303" s="67"/>
      <c r="L303" s="67"/>
    </row>
    <row r="304" spans="1:12" x14ac:dyDescent="0.3">
      <c r="A304" s="78"/>
      <c r="B304" s="74"/>
      <c r="C304" s="108" t="s">
        <v>126</v>
      </c>
      <c r="D304" s="129">
        <f>H301*D303</f>
        <v>8.7949424210429932</v>
      </c>
      <c r="E304" s="110" t="s">
        <v>20</v>
      </c>
      <c r="F304" s="74"/>
      <c r="G304" s="74"/>
      <c r="H304" s="74"/>
      <c r="I304" s="74"/>
      <c r="J304" s="74"/>
      <c r="K304" s="67"/>
      <c r="L304" s="67"/>
    </row>
    <row r="305" spans="1:12" x14ac:dyDescent="0.3">
      <c r="A305" s="78"/>
      <c r="B305" s="74"/>
      <c r="C305" s="74"/>
      <c r="D305" s="83"/>
      <c r="E305" s="74"/>
      <c r="F305" s="74"/>
      <c r="G305" s="74"/>
      <c r="H305" s="74"/>
      <c r="I305" s="74"/>
      <c r="J305" s="74"/>
      <c r="K305" s="67"/>
      <c r="L305" s="67"/>
    </row>
    <row r="306" spans="1:12" x14ac:dyDescent="0.3">
      <c r="A306" s="78"/>
      <c r="B306" s="74"/>
      <c r="C306" s="74" t="s">
        <v>154</v>
      </c>
      <c r="D306" s="74"/>
      <c r="E306" s="74"/>
      <c r="F306" s="74"/>
      <c r="G306" s="74"/>
      <c r="H306" s="74"/>
      <c r="I306" s="74"/>
      <c r="J306" s="74"/>
      <c r="K306" s="67"/>
      <c r="L306" s="67"/>
    </row>
    <row r="307" spans="1:12" x14ac:dyDescent="0.3">
      <c r="A307" s="78"/>
      <c r="B307" s="74"/>
      <c r="C307" s="108" t="s">
        <v>128</v>
      </c>
      <c r="D307" s="129">
        <f>ROUND((D105+E138/3),1)</f>
        <v>4.3</v>
      </c>
      <c r="E307" s="110" t="s">
        <v>20</v>
      </c>
      <c r="G307" s="74"/>
      <c r="H307" s="74"/>
      <c r="I307" s="74"/>
      <c r="J307" s="74"/>
      <c r="K307" s="67"/>
      <c r="L307" s="67"/>
    </row>
    <row r="308" spans="1:12" x14ac:dyDescent="0.3">
      <c r="A308" s="78"/>
      <c r="B308" s="74"/>
      <c r="C308" s="74"/>
      <c r="D308" s="74"/>
      <c r="E308" s="74"/>
      <c r="F308" s="74"/>
      <c r="G308" s="74"/>
      <c r="H308" s="74"/>
      <c r="I308" s="74"/>
      <c r="J308" s="74"/>
      <c r="K308" s="67"/>
      <c r="L308" s="67"/>
    </row>
    <row r="309" spans="1:12" x14ac:dyDescent="0.3">
      <c r="A309" s="78"/>
      <c r="B309" s="74"/>
      <c r="C309" s="74" t="s">
        <v>155</v>
      </c>
      <c r="D309" s="74"/>
      <c r="E309" s="74"/>
      <c r="F309" s="74"/>
      <c r="G309" s="74"/>
      <c r="H309" s="74"/>
      <c r="I309" s="74"/>
      <c r="J309" s="74"/>
      <c r="K309" s="67"/>
      <c r="L309" s="67"/>
    </row>
    <row r="310" spans="1:12" x14ac:dyDescent="0.3">
      <c r="A310" s="78"/>
      <c r="B310" s="74"/>
      <c r="C310" s="108" t="s">
        <v>139</v>
      </c>
      <c r="D310" s="129">
        <f>ROUND((D304+D307)/2,1)</f>
        <v>6.5</v>
      </c>
      <c r="E310" s="110" t="s">
        <v>20</v>
      </c>
      <c r="F310" s="74"/>
      <c r="G310" s="74"/>
      <c r="H310" s="74"/>
      <c r="I310" s="74"/>
      <c r="J310" s="74"/>
      <c r="K310" s="67"/>
      <c r="L310" s="67"/>
    </row>
    <row r="311" spans="1:12" x14ac:dyDescent="0.3">
      <c r="A311" s="78"/>
      <c r="B311" s="74"/>
      <c r="C311" s="74"/>
      <c r="D311" s="74"/>
      <c r="E311" s="74"/>
      <c r="F311" s="74"/>
      <c r="G311" s="74"/>
      <c r="H311" s="74"/>
      <c r="I311" s="74"/>
      <c r="J311" s="74"/>
      <c r="K311" s="67"/>
      <c r="L311" s="67"/>
    </row>
    <row r="312" spans="1:12" x14ac:dyDescent="0.3">
      <c r="A312" s="78"/>
      <c r="B312" s="74"/>
      <c r="C312" s="127" t="s">
        <v>478</v>
      </c>
      <c r="D312" s="127"/>
      <c r="E312" s="127"/>
      <c r="F312" s="127"/>
      <c r="G312" s="74"/>
      <c r="H312" s="74"/>
      <c r="I312" s="74"/>
      <c r="J312" s="74"/>
      <c r="K312" s="67"/>
      <c r="L312" s="67"/>
    </row>
    <row r="313" spans="1:12" x14ac:dyDescent="0.3">
      <c r="A313" s="78"/>
      <c r="B313" s="74"/>
      <c r="C313" s="74" t="s">
        <v>156</v>
      </c>
      <c r="D313" s="74"/>
      <c r="E313" s="74"/>
      <c r="F313" s="74"/>
      <c r="G313" s="74"/>
      <c r="H313" s="74"/>
      <c r="I313" s="74"/>
      <c r="J313" s="74"/>
      <c r="K313" s="67"/>
      <c r="L313" s="67"/>
    </row>
    <row r="314" spans="1:12" x14ac:dyDescent="0.3">
      <c r="A314" s="78"/>
      <c r="B314" s="74"/>
      <c r="C314" s="155" t="s">
        <v>517</v>
      </c>
      <c r="D314" s="156"/>
      <c r="E314" s="74"/>
      <c r="F314" s="127"/>
      <c r="G314" s="74"/>
      <c r="H314" s="127"/>
      <c r="I314" s="74"/>
      <c r="J314" s="74"/>
      <c r="K314" s="67"/>
      <c r="L314" s="67"/>
    </row>
    <row r="315" spans="1:12" x14ac:dyDescent="0.3">
      <c r="A315" s="78"/>
      <c r="B315" s="74"/>
      <c r="C315" s="78" t="s">
        <v>157</v>
      </c>
      <c r="D315" s="74"/>
      <c r="E315" s="74"/>
      <c r="F315" s="74"/>
      <c r="G315" s="74"/>
      <c r="H315" s="74"/>
      <c r="I315" s="74"/>
      <c r="J315" s="74"/>
      <c r="K315" s="67"/>
      <c r="L315" s="67"/>
    </row>
    <row r="316" spans="1:12" x14ac:dyDescent="0.3">
      <c r="A316" s="78"/>
      <c r="B316" s="74"/>
      <c r="C316" s="401" t="s">
        <v>487</v>
      </c>
      <c r="D316" s="401"/>
      <c r="E316" s="74"/>
      <c r="F316" s="74"/>
      <c r="G316" s="74"/>
      <c r="H316" s="74"/>
      <c r="I316" s="74"/>
      <c r="J316" s="74"/>
      <c r="K316" s="67"/>
      <c r="L316" s="67"/>
    </row>
    <row r="317" spans="1:12" x14ac:dyDescent="0.3">
      <c r="A317" s="78"/>
      <c r="B317" s="74"/>
      <c r="C317" s="78" t="s">
        <v>33</v>
      </c>
      <c r="D317" s="78"/>
      <c r="E317" s="74"/>
      <c r="F317" s="74"/>
      <c r="G317" s="74"/>
      <c r="H317" s="74"/>
      <c r="I317" s="74"/>
      <c r="J317" s="74"/>
      <c r="K317" s="67"/>
      <c r="L317" s="67"/>
    </row>
    <row r="318" spans="1:12" x14ac:dyDescent="0.3">
      <c r="A318" s="78"/>
      <c r="B318" s="74"/>
      <c r="C318" s="140" t="s">
        <v>519</v>
      </c>
      <c r="D318" s="102"/>
      <c r="E318" s="74"/>
      <c r="F318" s="74"/>
      <c r="G318" s="74"/>
      <c r="H318" s="74"/>
      <c r="I318" s="74"/>
      <c r="J318" s="74"/>
      <c r="K318" s="67"/>
      <c r="L318" s="67"/>
    </row>
    <row r="319" spans="1:12" x14ac:dyDescent="0.3">
      <c r="A319" s="78"/>
      <c r="B319" s="74"/>
      <c r="C319" s="122" t="s">
        <v>518</v>
      </c>
      <c r="D319" s="74"/>
      <c r="E319" s="74"/>
      <c r="F319" s="74"/>
      <c r="G319" s="74"/>
      <c r="H319" s="74"/>
      <c r="I319" s="74"/>
      <c r="J319" s="74"/>
      <c r="K319" s="67"/>
      <c r="L319" s="67"/>
    </row>
    <row r="320" spans="1:12" x14ac:dyDescent="0.3">
      <c r="A320" s="78"/>
      <c r="B320" s="74"/>
      <c r="C320" s="122" t="s">
        <v>160</v>
      </c>
      <c r="D320" s="74"/>
      <c r="E320" s="74"/>
      <c r="F320" s="74"/>
      <c r="G320" s="74"/>
      <c r="H320" s="74"/>
      <c r="I320" s="74"/>
      <c r="J320" s="74"/>
      <c r="K320" s="67"/>
      <c r="L320" s="67"/>
    </row>
    <row r="321" spans="1:16" x14ac:dyDescent="0.3">
      <c r="A321" s="78"/>
      <c r="B321" s="74"/>
      <c r="C321" s="108" t="s">
        <v>520</v>
      </c>
      <c r="D321" s="129">
        <v>3.5</v>
      </c>
      <c r="E321" s="110" t="s">
        <v>158</v>
      </c>
      <c r="H321" s="74"/>
      <c r="I321" s="74"/>
      <c r="J321" s="74"/>
      <c r="K321" s="67"/>
      <c r="L321" s="67"/>
    </row>
    <row r="322" spans="1:16" x14ac:dyDescent="0.3">
      <c r="A322" s="78"/>
      <c r="B322" s="74"/>
      <c r="C322" s="108" t="s">
        <v>522</v>
      </c>
      <c r="D322" s="129">
        <f>D161-D191</f>
        <v>1.2882297904064171</v>
      </c>
      <c r="E322" s="110" t="s">
        <v>20</v>
      </c>
      <c r="I322" s="74"/>
      <c r="J322" s="74"/>
      <c r="K322" s="67"/>
      <c r="L322" s="74"/>
      <c r="M322" s="78"/>
    </row>
    <row r="323" spans="1:16" ht="18" x14ac:dyDescent="0.3">
      <c r="A323" s="78"/>
      <c r="B323" s="74"/>
      <c r="C323" s="108" t="s">
        <v>488</v>
      </c>
      <c r="D323" s="129">
        <f>D321*D322</f>
        <v>4.5088042664224597</v>
      </c>
      <c r="E323" s="110" t="s">
        <v>20</v>
      </c>
      <c r="F323" s="158" t="s">
        <v>521</v>
      </c>
      <c r="G323" s="78"/>
      <c r="H323" s="74"/>
      <c r="I323" s="74"/>
      <c r="J323" s="74"/>
      <c r="K323" s="67"/>
      <c r="L323" s="67"/>
    </row>
    <row r="324" spans="1:16" hidden="1" x14ac:dyDescent="0.3">
      <c r="A324" s="78"/>
      <c r="B324" s="74"/>
      <c r="C324" s="74"/>
      <c r="D324" s="74"/>
      <c r="E324" s="74"/>
      <c r="F324" s="74"/>
      <c r="G324" s="74"/>
      <c r="H324" s="74"/>
      <c r="I324" s="74"/>
      <c r="J324" s="78"/>
    </row>
    <row r="325" spans="1:16" hidden="1" x14ac:dyDescent="0.3">
      <c r="A325" s="78"/>
      <c r="B325" s="74"/>
      <c r="C325" s="142" t="s">
        <v>285</v>
      </c>
      <c r="D325" s="83">
        <f>D147*3</f>
        <v>13.238522075179709</v>
      </c>
      <c r="E325" s="74">
        <f>E119*100</f>
        <v>14.7</v>
      </c>
      <c r="F325" s="74">
        <f>2*0.9</f>
        <v>1.8</v>
      </c>
      <c r="G325" s="74">
        <v>0.6</v>
      </c>
      <c r="H325" s="74">
        <v>0.6</v>
      </c>
      <c r="I325" s="78"/>
      <c r="J325" s="78"/>
    </row>
    <row r="326" spans="1:16" hidden="1" x14ac:dyDescent="0.3">
      <c r="A326" s="78"/>
      <c r="B326" s="74"/>
      <c r="C326" s="142" t="s">
        <v>288</v>
      </c>
      <c r="D326" s="83">
        <f>D182</f>
        <v>1.9</v>
      </c>
      <c r="E326" s="74">
        <v>0.4</v>
      </c>
      <c r="F326" s="74">
        <v>1.5</v>
      </c>
      <c r="G326" s="74">
        <v>0.6</v>
      </c>
      <c r="H326" s="74">
        <v>0.6</v>
      </c>
      <c r="I326" s="74"/>
      <c r="J326" s="74"/>
      <c r="K326" s="67"/>
      <c r="L326" s="67"/>
    </row>
    <row r="327" spans="1:16" x14ac:dyDescent="0.3">
      <c r="A327" s="78"/>
      <c r="B327" s="74"/>
      <c r="C327" s="108" t="s">
        <v>286</v>
      </c>
      <c r="D327" s="129">
        <f>SUM(D325:H325)</f>
        <v>30.938522075179712</v>
      </c>
      <c r="E327" s="110"/>
      <c r="F327" s="70"/>
      <c r="G327" s="78"/>
      <c r="H327" s="78"/>
      <c r="I327" s="78"/>
      <c r="J327" s="74"/>
      <c r="K327" s="67"/>
      <c r="L327" s="67"/>
      <c r="M327" s="78"/>
    </row>
    <row r="328" spans="1:16" x14ac:dyDescent="0.3">
      <c r="A328" s="78"/>
      <c r="B328" s="74"/>
      <c r="C328" s="108" t="s">
        <v>287</v>
      </c>
      <c r="D328" s="129">
        <f>SUM(D326:H326)</f>
        <v>4.9999999999999991</v>
      </c>
      <c r="E328" s="110"/>
      <c r="F328" s="70"/>
      <c r="G328" s="78"/>
      <c r="H328" s="78"/>
      <c r="I328" s="78"/>
      <c r="J328" s="74"/>
      <c r="K328" s="67"/>
      <c r="L328" s="67"/>
    </row>
    <row r="329" spans="1:16" x14ac:dyDescent="0.3">
      <c r="A329" s="78"/>
      <c r="B329" s="74"/>
      <c r="C329" s="108" t="s">
        <v>289</v>
      </c>
      <c r="D329" s="129">
        <f>D328+D327/3</f>
        <v>15.312840691726571</v>
      </c>
      <c r="E329" s="157" t="str">
        <f>IF(D323&lt;D329,"CUMPLE","NO CUMPLE")</f>
        <v>CUMPLE</v>
      </c>
      <c r="F329" s="74"/>
      <c r="G329" s="74"/>
      <c r="H329" s="74"/>
      <c r="I329" s="74"/>
      <c r="J329" s="78"/>
    </row>
    <row r="330" spans="1:16" x14ac:dyDescent="0.3">
      <c r="B330" s="67"/>
      <c r="C330" s="67"/>
      <c r="D330" s="67"/>
      <c r="E330" s="67"/>
      <c r="F330" s="67"/>
      <c r="G330" s="67"/>
      <c r="H330" s="67"/>
      <c r="I330" s="67"/>
      <c r="J330" s="67"/>
      <c r="K330" s="67"/>
      <c r="L330" s="67"/>
    </row>
    <row r="331" spans="1:16" ht="17.25" thickBot="1" x14ac:dyDescent="0.35">
      <c r="B331" s="67"/>
      <c r="C331" s="67"/>
      <c r="D331" s="67"/>
      <c r="E331" s="67"/>
      <c r="F331" s="67"/>
      <c r="G331" s="67"/>
      <c r="H331" s="67"/>
      <c r="I331" s="67"/>
      <c r="J331" s="67"/>
      <c r="K331" s="67"/>
      <c r="L331" s="67"/>
    </row>
    <row r="332" spans="1:16" x14ac:dyDescent="0.3">
      <c r="B332" s="67"/>
      <c r="C332" s="42"/>
      <c r="D332" s="43"/>
      <c r="E332" s="43"/>
      <c r="F332" s="43"/>
      <c r="G332" s="43"/>
      <c r="H332" s="43"/>
      <c r="I332" s="43"/>
      <c r="J332" s="43"/>
      <c r="K332" s="43"/>
      <c r="L332" s="63"/>
      <c r="M332" s="43"/>
      <c r="N332" s="43"/>
      <c r="O332" s="43"/>
      <c r="P332" s="44"/>
    </row>
    <row r="333" spans="1:16" ht="15" customHeight="1" x14ac:dyDescent="0.3">
      <c r="B333" s="67"/>
      <c r="C333" s="45"/>
      <c r="D333" s="46"/>
      <c r="E333" s="46"/>
      <c r="F333" s="46"/>
      <c r="G333" s="46"/>
      <c r="H333" s="46"/>
      <c r="I333" s="46"/>
      <c r="J333" s="46"/>
      <c r="K333" s="46"/>
      <c r="L333" s="46"/>
      <c r="M333" s="46"/>
      <c r="N333" s="46"/>
      <c r="O333" s="46"/>
      <c r="P333" s="47"/>
    </row>
    <row r="334" spans="1:16" ht="15" customHeight="1" x14ac:dyDescent="0.3">
      <c r="B334" s="67"/>
      <c r="C334" s="48"/>
      <c r="D334" s="49"/>
      <c r="E334" s="50"/>
      <c r="F334" s="49"/>
      <c r="G334" s="49"/>
      <c r="H334" s="46"/>
      <c r="I334" s="46"/>
      <c r="J334" s="46"/>
      <c r="K334" s="46"/>
      <c r="L334" s="46"/>
      <c r="M334" s="46"/>
      <c r="N334" s="46"/>
      <c r="O334" s="46"/>
      <c r="P334" s="47"/>
    </row>
    <row r="335" spans="1:16" x14ac:dyDescent="0.3">
      <c r="B335" s="67"/>
      <c r="C335" s="48"/>
      <c r="D335" s="49"/>
      <c r="E335" s="50"/>
      <c r="F335" s="49"/>
      <c r="G335" s="49"/>
      <c r="H335" s="51" t="s">
        <v>480</v>
      </c>
      <c r="I335" s="46"/>
      <c r="J335" s="46"/>
      <c r="K335" s="62"/>
      <c r="L335" s="46"/>
      <c r="M335" s="46"/>
      <c r="N335" s="46"/>
      <c r="O335" s="46"/>
      <c r="P335" s="47"/>
    </row>
    <row r="336" spans="1:16" x14ac:dyDescent="0.3">
      <c r="B336" s="67"/>
      <c r="C336" s="48"/>
      <c r="D336" s="49"/>
      <c r="E336" s="50"/>
      <c r="F336" s="52"/>
      <c r="G336" s="52"/>
      <c r="H336" s="46"/>
      <c r="I336" s="46"/>
      <c r="J336" s="46"/>
      <c r="K336" s="46"/>
      <c r="L336" s="46"/>
      <c r="M336" s="46"/>
      <c r="N336" s="46"/>
      <c r="O336" s="46"/>
      <c r="P336" s="47"/>
    </row>
    <row r="337" spans="2:16" x14ac:dyDescent="0.3">
      <c r="B337" s="67"/>
      <c r="C337" s="53"/>
      <c r="D337" s="54"/>
      <c r="E337" s="50"/>
      <c r="F337" s="50"/>
      <c r="G337" s="52"/>
      <c r="H337" s="46"/>
      <c r="I337" s="46"/>
      <c r="J337" s="46"/>
      <c r="K337" s="46"/>
      <c r="L337" s="46"/>
      <c r="M337" s="46"/>
      <c r="N337" s="46"/>
      <c r="O337" s="46"/>
      <c r="P337" s="47"/>
    </row>
    <row r="338" spans="2:16" x14ac:dyDescent="0.3">
      <c r="B338" s="67"/>
      <c r="C338" s="53"/>
      <c r="D338" s="54"/>
      <c r="E338" s="50"/>
      <c r="F338" s="50"/>
      <c r="G338" s="52"/>
      <c r="H338" s="46"/>
      <c r="I338" s="46"/>
      <c r="J338" s="46"/>
      <c r="K338" s="65"/>
      <c r="L338" s="46"/>
      <c r="M338" s="46"/>
      <c r="N338" s="46"/>
      <c r="O338" s="64"/>
      <c r="P338" s="47"/>
    </row>
    <row r="339" spans="2:16" x14ac:dyDescent="0.3">
      <c r="B339" s="67"/>
      <c r="C339" s="53"/>
      <c r="D339" s="54"/>
      <c r="E339" s="50"/>
      <c r="F339" s="50"/>
      <c r="G339" s="52"/>
      <c r="H339" s="55" t="s">
        <v>481</v>
      </c>
      <c r="I339" s="46"/>
      <c r="J339" s="46"/>
      <c r="K339" s="46"/>
      <c r="L339" s="46"/>
      <c r="M339" s="46"/>
      <c r="N339" s="46"/>
      <c r="O339" s="46"/>
      <c r="P339" s="47"/>
    </row>
    <row r="340" spans="2:16" x14ac:dyDescent="0.3">
      <c r="B340" s="67"/>
      <c r="C340" s="53"/>
      <c r="D340" s="61"/>
      <c r="E340" s="56"/>
      <c r="F340" s="57"/>
      <c r="G340" s="52"/>
      <c r="H340" s="46"/>
      <c r="I340" s="46"/>
      <c r="J340" s="46"/>
      <c r="K340" s="46"/>
      <c r="L340" s="46"/>
      <c r="M340" s="46"/>
      <c r="N340" s="46"/>
      <c r="O340" s="46"/>
      <c r="P340" s="47"/>
    </row>
    <row r="341" spans="2:16" x14ac:dyDescent="0.3">
      <c r="B341" s="67"/>
      <c r="C341" s="53"/>
      <c r="D341" s="54"/>
      <c r="E341" s="50"/>
      <c r="F341" s="56"/>
      <c r="G341" s="52"/>
      <c r="H341" s="46"/>
      <c r="I341" s="46"/>
      <c r="J341" s="46"/>
      <c r="K341" s="46"/>
      <c r="L341" s="46"/>
      <c r="M341" s="46"/>
      <c r="N341" s="46"/>
      <c r="O341" s="46"/>
      <c r="P341" s="47"/>
    </row>
    <row r="342" spans="2:16" x14ac:dyDescent="0.3">
      <c r="B342" s="67"/>
      <c r="C342" s="48"/>
      <c r="D342" s="49"/>
      <c r="E342" s="50"/>
      <c r="F342" s="50"/>
      <c r="G342" s="52"/>
      <c r="H342" s="66">
        <f>D271</f>
        <v>2.0237132421484572</v>
      </c>
      <c r="I342" s="46"/>
      <c r="J342" s="46"/>
      <c r="K342" s="46"/>
      <c r="L342" s="46"/>
      <c r="M342" s="46"/>
      <c r="N342" s="46"/>
      <c r="O342" s="46"/>
      <c r="P342" s="47"/>
    </row>
    <row r="343" spans="2:16" x14ac:dyDescent="0.3">
      <c r="B343" s="67"/>
      <c r="C343" s="48"/>
      <c r="D343" s="49"/>
      <c r="E343" s="50"/>
      <c r="F343" s="50"/>
      <c r="G343" s="52"/>
      <c r="H343" s="46"/>
      <c r="I343" s="46"/>
      <c r="J343" s="46"/>
      <c r="K343" s="46"/>
      <c r="L343" s="46"/>
      <c r="M343" s="46"/>
      <c r="N343" s="46"/>
      <c r="O343" s="46"/>
      <c r="P343" s="47"/>
    </row>
    <row r="344" spans="2:16" x14ac:dyDescent="0.3">
      <c r="B344" s="67"/>
      <c r="C344" s="48"/>
      <c r="D344" s="49"/>
      <c r="E344" s="50"/>
      <c r="F344" s="50"/>
      <c r="G344" s="52"/>
      <c r="H344" s="46"/>
      <c r="I344" s="46"/>
      <c r="J344" s="46"/>
      <c r="K344" s="55" t="s">
        <v>482</v>
      </c>
      <c r="L344" s="46"/>
      <c r="M344" s="46"/>
      <c r="N344" s="46"/>
      <c r="O344" s="46"/>
      <c r="P344" s="47"/>
    </row>
    <row r="345" spans="2:16" x14ac:dyDescent="0.3">
      <c r="B345" s="67"/>
      <c r="C345" s="45"/>
      <c r="D345" s="46"/>
      <c r="E345" s="46"/>
      <c r="F345" s="46"/>
      <c r="G345" s="46"/>
      <c r="H345" s="46"/>
      <c r="I345" s="46"/>
      <c r="J345" s="46"/>
      <c r="K345" s="46"/>
      <c r="L345" s="46"/>
      <c r="M345" s="46"/>
      <c r="N345" s="46"/>
      <c r="O345" s="46"/>
      <c r="P345" s="47"/>
    </row>
    <row r="346" spans="2:16" ht="17.25" thickBot="1" x14ac:dyDescent="0.35">
      <c r="B346" s="67"/>
      <c r="C346" s="58"/>
      <c r="D346" s="59"/>
      <c r="E346" s="59"/>
      <c r="F346" s="59"/>
      <c r="G346" s="59"/>
      <c r="H346" s="59"/>
      <c r="I346" s="59"/>
      <c r="J346" s="59"/>
      <c r="K346" s="59"/>
      <c r="L346" s="59"/>
      <c r="M346" s="59"/>
      <c r="N346" s="59"/>
      <c r="O346" s="59"/>
      <c r="P346" s="60"/>
    </row>
    <row r="347" spans="2:16" x14ac:dyDescent="0.3">
      <c r="B347" s="67"/>
      <c r="C347" s="72"/>
      <c r="D347" s="72"/>
      <c r="E347" s="72"/>
      <c r="F347" s="72"/>
      <c r="G347" s="72"/>
      <c r="H347" s="72"/>
      <c r="I347" s="72"/>
      <c r="J347" s="72"/>
      <c r="K347" s="72"/>
      <c r="L347" s="72"/>
      <c r="M347" s="72"/>
      <c r="N347" s="72"/>
      <c r="O347" s="72"/>
      <c r="P347" s="72"/>
    </row>
    <row r="348" spans="2:16" x14ac:dyDescent="0.3">
      <c r="B348" s="67"/>
      <c r="C348" s="67"/>
      <c r="D348" s="67"/>
      <c r="E348" s="67"/>
      <c r="F348" s="67"/>
      <c r="G348" s="67"/>
      <c r="H348" s="67"/>
      <c r="I348" s="67"/>
      <c r="J348" s="67"/>
      <c r="K348" s="67"/>
      <c r="L348" s="67"/>
    </row>
    <row r="349" spans="2:16" x14ac:dyDescent="0.3">
      <c r="B349" s="67"/>
      <c r="C349" s="67"/>
      <c r="D349" s="67"/>
      <c r="E349" s="67"/>
      <c r="F349" s="67"/>
      <c r="G349" s="67"/>
      <c r="H349" s="67"/>
      <c r="I349" s="67"/>
      <c r="J349" s="67"/>
      <c r="K349" s="67"/>
      <c r="L349" s="67"/>
      <c r="M349" s="78"/>
    </row>
    <row r="350" spans="2:16" x14ac:dyDescent="0.3">
      <c r="B350" s="67"/>
      <c r="C350" s="67"/>
      <c r="D350" s="67"/>
      <c r="E350" s="67"/>
      <c r="F350" s="67"/>
      <c r="G350" s="67"/>
      <c r="H350" s="67"/>
      <c r="I350" s="67"/>
      <c r="J350" s="67"/>
      <c r="K350" s="67"/>
      <c r="L350" s="67"/>
      <c r="M350" s="78"/>
    </row>
    <row r="351" spans="2:16" x14ac:dyDescent="0.3">
      <c r="B351" s="67"/>
      <c r="C351" s="67"/>
      <c r="D351" s="67"/>
      <c r="E351" s="67"/>
      <c r="F351" s="67"/>
      <c r="G351" s="67"/>
      <c r="H351" s="67"/>
      <c r="I351" s="67"/>
      <c r="J351" s="67"/>
      <c r="K351" s="67"/>
      <c r="L351" s="67"/>
      <c r="M351" s="78"/>
    </row>
    <row r="352" spans="2:16" x14ac:dyDescent="0.3">
      <c r="B352" s="67"/>
      <c r="C352" s="67"/>
      <c r="D352" s="67"/>
      <c r="E352" s="67"/>
      <c r="F352" s="67"/>
      <c r="G352" s="67"/>
      <c r="H352" s="67"/>
      <c r="I352" s="67"/>
      <c r="J352" s="67"/>
      <c r="K352" s="67"/>
      <c r="L352" s="67"/>
    </row>
    <row r="353" spans="2:12" x14ac:dyDescent="0.3">
      <c r="B353" s="67"/>
      <c r="C353" s="67"/>
      <c r="D353" s="67"/>
      <c r="E353" s="67"/>
      <c r="F353" s="67"/>
      <c r="G353" s="67"/>
      <c r="H353" s="67"/>
      <c r="I353" s="67"/>
      <c r="J353" s="67"/>
      <c r="K353" s="67"/>
      <c r="L353" s="67"/>
    </row>
    <row r="354" spans="2:12" x14ac:dyDescent="0.3">
      <c r="B354" s="67"/>
      <c r="C354" s="67"/>
      <c r="D354" s="67"/>
      <c r="E354" s="67"/>
      <c r="F354" s="67"/>
      <c r="G354" s="67"/>
      <c r="H354" s="67"/>
      <c r="I354" s="67"/>
      <c r="J354" s="67"/>
      <c r="K354" s="67"/>
      <c r="L354" s="67"/>
    </row>
    <row r="355" spans="2:12" x14ac:dyDescent="0.3">
      <c r="B355" s="67"/>
      <c r="C355" s="67"/>
      <c r="D355" s="67"/>
      <c r="E355" s="67"/>
      <c r="F355" s="67"/>
      <c r="G355" s="67"/>
      <c r="H355" s="67"/>
      <c r="I355" s="67"/>
      <c r="J355" s="67"/>
      <c r="K355" s="67"/>
      <c r="L355" s="67"/>
    </row>
    <row r="356" spans="2:12" x14ac:dyDescent="0.3">
      <c r="B356" s="67"/>
      <c r="C356" s="67"/>
      <c r="D356" s="67"/>
      <c r="E356" s="67"/>
      <c r="F356" s="67"/>
      <c r="G356" s="67"/>
      <c r="H356" s="67"/>
      <c r="I356" s="67"/>
      <c r="J356" s="67"/>
      <c r="K356" s="67"/>
      <c r="L356" s="67"/>
    </row>
    <row r="357" spans="2:12" x14ac:dyDescent="0.3">
      <c r="B357" s="67"/>
      <c r="C357" s="67"/>
      <c r="D357" s="67"/>
      <c r="E357" s="67"/>
      <c r="F357" s="67"/>
      <c r="G357" s="67"/>
      <c r="H357" s="67"/>
      <c r="I357" s="67"/>
      <c r="J357" s="67"/>
      <c r="K357" s="67"/>
      <c r="L357" s="67"/>
    </row>
    <row r="358" spans="2:12" x14ac:dyDescent="0.3">
      <c r="B358" s="67"/>
      <c r="C358" s="67"/>
      <c r="D358" s="67"/>
      <c r="E358" s="67"/>
      <c r="F358" s="67"/>
      <c r="G358" s="67"/>
      <c r="H358" s="67"/>
      <c r="I358" s="67"/>
      <c r="J358" s="67"/>
      <c r="K358" s="67"/>
      <c r="L358" s="67"/>
    </row>
    <row r="359" spans="2:12" x14ac:dyDescent="0.3">
      <c r="B359" s="67"/>
      <c r="C359" s="67"/>
      <c r="D359" s="67"/>
      <c r="E359" s="67"/>
      <c r="F359" s="67"/>
      <c r="G359" s="67"/>
      <c r="H359" s="67"/>
      <c r="I359" s="67"/>
      <c r="J359" s="67"/>
      <c r="K359" s="67"/>
      <c r="L359" s="67"/>
    </row>
    <row r="360" spans="2:12" x14ac:dyDescent="0.3">
      <c r="B360" s="67"/>
      <c r="C360" s="67"/>
      <c r="D360" s="67"/>
      <c r="E360" s="67"/>
      <c r="F360" s="67"/>
      <c r="G360" s="67"/>
      <c r="H360" s="67"/>
      <c r="I360" s="67"/>
      <c r="J360" s="67"/>
      <c r="K360" s="67"/>
      <c r="L360" s="67"/>
    </row>
    <row r="361" spans="2:12" x14ac:dyDescent="0.3">
      <c r="B361" s="67"/>
      <c r="C361" s="67"/>
      <c r="D361" s="67"/>
      <c r="E361" s="67"/>
      <c r="F361" s="67"/>
      <c r="G361" s="67"/>
      <c r="H361" s="67"/>
      <c r="I361" s="67"/>
      <c r="J361" s="67"/>
      <c r="K361" s="67"/>
      <c r="L361" s="67"/>
    </row>
    <row r="362" spans="2:12" x14ac:dyDescent="0.3">
      <c r="B362" s="67"/>
      <c r="C362" s="67"/>
      <c r="D362" s="67"/>
      <c r="E362" s="67"/>
      <c r="F362" s="67"/>
      <c r="G362" s="67"/>
      <c r="H362" s="67"/>
      <c r="I362" s="67"/>
      <c r="J362" s="67"/>
      <c r="K362" s="67"/>
      <c r="L362" s="67"/>
    </row>
    <row r="363" spans="2:12" x14ac:dyDescent="0.3">
      <c r="B363" s="67"/>
      <c r="C363" s="67"/>
      <c r="D363" s="67"/>
      <c r="E363" s="67"/>
      <c r="F363" s="67"/>
      <c r="G363" s="67"/>
      <c r="H363" s="67"/>
      <c r="I363" s="67"/>
      <c r="J363" s="67"/>
      <c r="K363" s="67"/>
      <c r="L363" s="67"/>
    </row>
    <row r="364" spans="2:12" x14ac:dyDescent="0.3">
      <c r="B364" s="67"/>
      <c r="C364" s="67"/>
      <c r="D364" s="67"/>
      <c r="E364" s="67"/>
      <c r="F364" s="67"/>
      <c r="G364" s="67"/>
      <c r="H364" s="67"/>
      <c r="I364" s="67"/>
      <c r="J364" s="67"/>
      <c r="K364" s="67"/>
      <c r="L364" s="67"/>
    </row>
    <row r="365" spans="2:12" x14ac:dyDescent="0.3">
      <c r="B365" s="67"/>
      <c r="C365" s="67"/>
      <c r="D365" s="67"/>
      <c r="E365" s="67"/>
      <c r="F365" s="67"/>
      <c r="G365" s="67"/>
      <c r="H365" s="67"/>
      <c r="I365" s="67"/>
      <c r="J365" s="67"/>
      <c r="K365" s="67"/>
      <c r="L365" s="67"/>
    </row>
    <row r="366" spans="2:12" x14ac:dyDescent="0.3">
      <c r="B366" s="67"/>
      <c r="C366" s="67"/>
      <c r="D366" s="67"/>
      <c r="E366" s="67"/>
      <c r="F366" s="67"/>
      <c r="G366" s="67"/>
      <c r="H366" s="67"/>
      <c r="I366" s="67"/>
      <c r="J366" s="67"/>
      <c r="K366" s="67"/>
      <c r="L366" s="67"/>
    </row>
    <row r="367" spans="2:12" x14ac:dyDescent="0.3">
      <c r="B367" s="67"/>
      <c r="C367" s="67"/>
      <c r="D367" s="67"/>
      <c r="E367" s="67"/>
      <c r="F367" s="67"/>
      <c r="G367" s="67"/>
      <c r="H367" s="67"/>
      <c r="I367" s="67"/>
      <c r="J367" s="67"/>
      <c r="K367" s="67"/>
      <c r="L367" s="67"/>
    </row>
    <row r="368" spans="2:12" x14ac:dyDescent="0.3">
      <c r="B368" s="67"/>
      <c r="C368" s="67"/>
      <c r="D368" s="67"/>
      <c r="E368" s="67"/>
      <c r="F368" s="67"/>
      <c r="G368" s="67"/>
      <c r="H368" s="67"/>
      <c r="I368" s="67"/>
      <c r="J368" s="67"/>
      <c r="K368" s="67"/>
      <c r="L368" s="67"/>
    </row>
    <row r="369" spans="2:12" x14ac:dyDescent="0.3">
      <c r="B369" s="67"/>
      <c r="C369" s="67"/>
      <c r="D369" s="67"/>
      <c r="E369" s="67"/>
      <c r="F369" s="67"/>
      <c r="G369" s="67"/>
      <c r="H369" s="67"/>
      <c r="I369" s="67"/>
      <c r="J369" s="67"/>
      <c r="K369" s="67"/>
      <c r="L369" s="67"/>
    </row>
    <row r="370" spans="2:12" x14ac:dyDescent="0.3">
      <c r="B370" s="67"/>
      <c r="C370" s="67"/>
      <c r="D370" s="67"/>
      <c r="E370" s="67"/>
      <c r="F370" s="67"/>
      <c r="G370" s="67"/>
      <c r="H370" s="67"/>
      <c r="I370" s="67"/>
      <c r="J370" s="67"/>
      <c r="K370" s="67"/>
      <c r="L370" s="67"/>
    </row>
    <row r="371" spans="2:12" x14ac:dyDescent="0.3">
      <c r="B371" s="67"/>
      <c r="C371" s="67"/>
      <c r="D371" s="67"/>
      <c r="E371" s="67"/>
      <c r="F371" s="67"/>
      <c r="G371" s="67"/>
      <c r="H371" s="67"/>
      <c r="I371" s="67"/>
      <c r="J371" s="67"/>
      <c r="K371" s="67"/>
      <c r="L371" s="67"/>
    </row>
    <row r="372" spans="2:12" x14ac:dyDescent="0.3">
      <c r="B372" s="67"/>
      <c r="C372" s="67"/>
      <c r="D372" s="67"/>
      <c r="E372" s="67"/>
      <c r="F372" s="67"/>
      <c r="G372" s="67"/>
      <c r="H372" s="67"/>
      <c r="I372" s="67"/>
      <c r="J372" s="67"/>
      <c r="K372" s="67"/>
      <c r="L372" s="67"/>
    </row>
    <row r="373" spans="2:12" x14ac:dyDescent="0.3">
      <c r="B373" s="67"/>
      <c r="C373" s="67"/>
      <c r="D373" s="67"/>
      <c r="E373" s="67"/>
      <c r="F373" s="67"/>
      <c r="G373" s="67"/>
      <c r="H373" s="67"/>
      <c r="I373" s="67"/>
      <c r="J373" s="67"/>
      <c r="K373" s="67"/>
      <c r="L373" s="67"/>
    </row>
    <row r="374" spans="2:12" x14ac:dyDescent="0.3">
      <c r="B374" s="67"/>
      <c r="C374" s="67"/>
      <c r="D374" s="67"/>
      <c r="E374" s="67"/>
      <c r="F374" s="67"/>
      <c r="G374" s="67"/>
      <c r="H374" s="67"/>
      <c r="I374" s="67"/>
      <c r="J374" s="67"/>
      <c r="K374" s="67"/>
      <c r="L374" s="67"/>
    </row>
    <row r="375" spans="2:12" x14ac:dyDescent="0.3">
      <c r="B375" s="67"/>
      <c r="C375" s="67"/>
      <c r="D375" s="67"/>
      <c r="E375" s="67"/>
      <c r="F375" s="67"/>
      <c r="G375" s="67"/>
      <c r="H375" s="67"/>
      <c r="I375" s="67"/>
      <c r="J375" s="67"/>
      <c r="K375" s="67"/>
      <c r="L375" s="67"/>
    </row>
    <row r="376" spans="2:12" x14ac:dyDescent="0.3">
      <c r="B376" s="67"/>
      <c r="C376" s="67"/>
      <c r="D376" s="67"/>
      <c r="E376" s="67"/>
      <c r="F376" s="67"/>
      <c r="G376" s="67"/>
      <c r="H376" s="67"/>
      <c r="I376" s="67"/>
      <c r="J376" s="67"/>
      <c r="K376" s="67"/>
      <c r="L376" s="67"/>
    </row>
    <row r="377" spans="2:12" x14ac:dyDescent="0.3">
      <c r="B377" s="67"/>
      <c r="C377" s="67"/>
      <c r="D377" s="67"/>
      <c r="E377" s="67"/>
      <c r="F377" s="67"/>
      <c r="G377" s="67"/>
      <c r="H377" s="67"/>
      <c r="I377" s="67"/>
      <c r="J377" s="67"/>
      <c r="K377" s="67"/>
      <c r="L377" s="67"/>
    </row>
    <row r="378" spans="2:12" x14ac:dyDescent="0.3">
      <c r="B378" s="67"/>
      <c r="C378" s="67"/>
      <c r="D378" s="67"/>
      <c r="E378" s="67"/>
      <c r="F378" s="67"/>
      <c r="G378" s="67"/>
      <c r="H378" s="67"/>
      <c r="I378" s="67"/>
      <c r="J378" s="67"/>
      <c r="K378" s="67"/>
      <c r="L378" s="67"/>
    </row>
    <row r="379" spans="2:12" x14ac:dyDescent="0.3">
      <c r="B379" s="67"/>
      <c r="C379" s="67"/>
      <c r="D379" s="67"/>
      <c r="E379" s="67"/>
      <c r="F379" s="67"/>
      <c r="G379" s="67"/>
      <c r="H379" s="67"/>
      <c r="I379" s="67"/>
      <c r="J379" s="67"/>
      <c r="K379" s="67"/>
      <c r="L379" s="67"/>
    </row>
    <row r="380" spans="2:12" x14ac:dyDescent="0.3">
      <c r="B380" s="67"/>
      <c r="C380" s="67"/>
      <c r="D380" s="67"/>
      <c r="E380" s="67"/>
      <c r="F380" s="67"/>
      <c r="G380" s="67"/>
      <c r="H380" s="67"/>
      <c r="I380" s="67"/>
      <c r="J380" s="67"/>
      <c r="K380" s="67"/>
      <c r="L380" s="67"/>
    </row>
    <row r="381" spans="2:12" x14ac:dyDescent="0.3">
      <c r="B381" s="67"/>
      <c r="C381" s="67"/>
      <c r="D381" s="67"/>
      <c r="E381" s="67"/>
      <c r="F381" s="67"/>
      <c r="G381" s="67"/>
      <c r="H381" s="67"/>
      <c r="I381" s="67"/>
      <c r="J381" s="67"/>
      <c r="K381" s="67"/>
      <c r="L381" s="67"/>
    </row>
    <row r="382" spans="2:12" x14ac:dyDescent="0.3">
      <c r="B382" s="67"/>
      <c r="C382" s="67"/>
      <c r="D382" s="67"/>
      <c r="E382" s="67"/>
      <c r="F382" s="67"/>
      <c r="G382" s="67"/>
      <c r="H382" s="67"/>
      <c r="I382" s="67"/>
      <c r="J382" s="67"/>
      <c r="K382" s="67"/>
      <c r="L382" s="67"/>
    </row>
    <row r="383" spans="2:12" x14ac:dyDescent="0.3">
      <c r="B383" s="67"/>
      <c r="C383" s="67"/>
      <c r="D383" s="67"/>
      <c r="E383" s="67"/>
      <c r="F383" s="67"/>
      <c r="G383" s="67"/>
      <c r="H383" s="67"/>
      <c r="I383" s="67"/>
      <c r="J383" s="67"/>
      <c r="K383" s="67"/>
      <c r="L383" s="67"/>
    </row>
    <row r="384" spans="2:12" x14ac:dyDescent="0.3">
      <c r="B384" s="67"/>
      <c r="C384" s="67"/>
      <c r="D384" s="67"/>
      <c r="E384" s="67"/>
      <c r="F384" s="67"/>
      <c r="G384" s="67"/>
      <c r="H384" s="67"/>
      <c r="I384" s="67"/>
      <c r="J384" s="67"/>
      <c r="K384" s="67"/>
      <c r="L384" s="67"/>
    </row>
    <row r="385" spans="2:12" x14ac:dyDescent="0.3">
      <c r="B385" s="67"/>
      <c r="C385" s="67"/>
      <c r="D385" s="67"/>
      <c r="E385" s="67"/>
      <c r="F385" s="67"/>
      <c r="G385" s="67"/>
      <c r="H385" s="67"/>
      <c r="I385" s="67"/>
      <c r="J385" s="67"/>
      <c r="K385" s="67"/>
      <c r="L385" s="67"/>
    </row>
    <row r="386" spans="2:12" x14ac:dyDescent="0.3">
      <c r="B386" s="67"/>
      <c r="C386" s="67"/>
      <c r="D386" s="67"/>
      <c r="E386" s="67"/>
      <c r="F386" s="67"/>
      <c r="G386" s="67"/>
      <c r="H386" s="67"/>
      <c r="I386" s="67"/>
      <c r="J386" s="67"/>
      <c r="K386" s="67"/>
      <c r="L386" s="67"/>
    </row>
    <row r="387" spans="2:12" x14ac:dyDescent="0.3">
      <c r="B387" s="67"/>
      <c r="C387" s="67"/>
      <c r="D387" s="67"/>
      <c r="E387" s="67"/>
      <c r="F387" s="67"/>
      <c r="G387" s="67"/>
      <c r="H387" s="67"/>
      <c r="I387" s="67"/>
      <c r="J387" s="67"/>
      <c r="K387" s="67"/>
      <c r="L387" s="67"/>
    </row>
    <row r="388" spans="2:12" x14ac:dyDescent="0.3">
      <c r="B388" s="67"/>
      <c r="C388" s="67"/>
      <c r="D388" s="67"/>
      <c r="E388" s="67"/>
      <c r="F388" s="67"/>
      <c r="G388" s="67"/>
      <c r="H388" s="67"/>
      <c r="I388" s="67"/>
      <c r="J388" s="67"/>
      <c r="K388" s="67"/>
      <c r="L388" s="67"/>
    </row>
    <row r="389" spans="2:12" x14ac:dyDescent="0.3">
      <c r="B389" s="67"/>
      <c r="C389" s="67"/>
      <c r="D389" s="67"/>
      <c r="E389" s="67"/>
      <c r="F389" s="67"/>
      <c r="G389" s="67"/>
      <c r="H389" s="67"/>
      <c r="I389" s="67"/>
      <c r="J389" s="67"/>
      <c r="K389" s="67"/>
      <c r="L389" s="67"/>
    </row>
    <row r="390" spans="2:12" x14ac:dyDescent="0.3">
      <c r="B390" s="67"/>
      <c r="C390" s="67"/>
      <c r="D390" s="67"/>
      <c r="E390" s="67"/>
      <c r="F390" s="67"/>
      <c r="G390" s="67"/>
      <c r="H390" s="67"/>
      <c r="I390" s="67"/>
      <c r="J390" s="67"/>
      <c r="K390" s="67"/>
      <c r="L390" s="67"/>
    </row>
    <row r="391" spans="2:12" x14ac:dyDescent="0.3">
      <c r="B391" s="67"/>
      <c r="C391" s="67"/>
      <c r="D391" s="67"/>
      <c r="E391" s="67"/>
      <c r="F391" s="67"/>
      <c r="G391" s="67"/>
      <c r="H391" s="67"/>
      <c r="I391" s="67"/>
      <c r="J391" s="67"/>
      <c r="K391" s="67"/>
      <c r="L391" s="67"/>
    </row>
    <row r="392" spans="2:12" x14ac:dyDescent="0.3">
      <c r="B392" s="67"/>
      <c r="C392" s="67"/>
      <c r="D392" s="67"/>
      <c r="E392" s="67"/>
      <c r="F392" s="67"/>
      <c r="G392" s="67"/>
      <c r="H392" s="67"/>
      <c r="I392" s="67"/>
      <c r="J392" s="67"/>
      <c r="K392" s="67"/>
      <c r="L392" s="67"/>
    </row>
    <row r="393" spans="2:12" x14ac:dyDescent="0.3">
      <c r="B393" s="67"/>
      <c r="C393" s="67"/>
      <c r="D393" s="67"/>
      <c r="E393" s="67"/>
      <c r="F393" s="67"/>
      <c r="G393" s="67"/>
      <c r="H393" s="67"/>
      <c r="I393" s="67"/>
      <c r="J393" s="67"/>
      <c r="K393" s="67"/>
      <c r="L393" s="67"/>
    </row>
    <row r="394" spans="2:12" x14ac:dyDescent="0.3">
      <c r="B394" s="67"/>
      <c r="C394" s="67"/>
      <c r="D394" s="67"/>
      <c r="E394" s="67"/>
      <c r="F394" s="67"/>
      <c r="G394" s="67"/>
      <c r="H394" s="67"/>
      <c r="I394" s="67"/>
      <c r="J394" s="67"/>
      <c r="K394" s="67"/>
      <c r="L394" s="67"/>
    </row>
    <row r="395" spans="2:12" x14ac:dyDescent="0.3">
      <c r="B395" s="67"/>
      <c r="C395" s="67"/>
      <c r="D395" s="67"/>
      <c r="E395" s="67"/>
      <c r="F395" s="67"/>
      <c r="G395" s="67"/>
      <c r="H395" s="67"/>
      <c r="I395" s="67"/>
      <c r="J395" s="67"/>
      <c r="K395" s="67"/>
      <c r="L395" s="67"/>
    </row>
    <row r="396" spans="2:12" x14ac:dyDescent="0.3">
      <c r="B396" s="67"/>
      <c r="C396" s="67"/>
      <c r="D396" s="67"/>
      <c r="E396" s="67"/>
      <c r="F396" s="67"/>
      <c r="G396" s="67"/>
      <c r="H396" s="67"/>
      <c r="I396" s="67"/>
      <c r="J396" s="67"/>
      <c r="K396" s="67"/>
      <c r="L396" s="67"/>
    </row>
    <row r="397" spans="2:12" x14ac:dyDescent="0.3">
      <c r="B397" s="67"/>
      <c r="C397" s="67"/>
      <c r="D397" s="67"/>
      <c r="E397" s="67"/>
      <c r="F397" s="67"/>
      <c r="G397" s="67"/>
      <c r="H397" s="67"/>
      <c r="I397" s="67"/>
      <c r="J397" s="67"/>
      <c r="K397" s="67"/>
      <c r="L397" s="67"/>
    </row>
    <row r="398" spans="2:12" x14ac:dyDescent="0.3">
      <c r="B398" s="67"/>
      <c r="C398" s="67"/>
      <c r="D398" s="67"/>
      <c r="E398" s="67"/>
      <c r="F398" s="67"/>
      <c r="G398" s="67"/>
      <c r="H398" s="67"/>
      <c r="I398" s="67"/>
      <c r="J398" s="67"/>
      <c r="K398" s="67"/>
      <c r="L398" s="67"/>
    </row>
    <row r="399" spans="2:12" x14ac:dyDescent="0.3">
      <c r="B399" s="67"/>
      <c r="C399" s="67"/>
      <c r="D399" s="67"/>
      <c r="E399" s="67"/>
      <c r="F399" s="67"/>
      <c r="G399" s="67"/>
      <c r="H399" s="67"/>
      <c r="I399" s="67"/>
      <c r="J399" s="67"/>
      <c r="K399" s="67"/>
      <c r="L399" s="67"/>
    </row>
    <row r="400" spans="2:12" x14ac:dyDescent="0.3">
      <c r="B400" s="67"/>
      <c r="C400" s="67"/>
      <c r="D400" s="67"/>
      <c r="E400" s="67"/>
      <c r="F400" s="67"/>
      <c r="G400" s="67"/>
      <c r="H400" s="67"/>
      <c r="I400" s="67"/>
      <c r="J400" s="67"/>
      <c r="K400" s="67"/>
      <c r="L400" s="67"/>
    </row>
    <row r="401" spans="2:12" x14ac:dyDescent="0.3">
      <c r="B401" s="67"/>
      <c r="C401" s="67"/>
      <c r="D401" s="67"/>
      <c r="E401" s="67"/>
      <c r="F401" s="67"/>
      <c r="G401" s="67"/>
      <c r="H401" s="67"/>
      <c r="I401" s="67"/>
      <c r="J401" s="67"/>
      <c r="K401" s="67"/>
      <c r="L401" s="67"/>
    </row>
    <row r="402" spans="2:12" x14ac:dyDescent="0.3">
      <c r="B402" s="67"/>
      <c r="C402" s="67"/>
      <c r="D402" s="67"/>
      <c r="E402" s="67"/>
      <c r="F402" s="67"/>
      <c r="G402" s="67"/>
      <c r="H402" s="67"/>
      <c r="I402" s="67"/>
      <c r="J402" s="67"/>
      <c r="K402" s="67"/>
      <c r="L402" s="67"/>
    </row>
    <row r="403" spans="2:12" x14ac:dyDescent="0.3">
      <c r="B403" s="67"/>
      <c r="C403" s="67"/>
      <c r="D403" s="67"/>
      <c r="E403" s="67"/>
      <c r="F403" s="67"/>
      <c r="G403" s="67"/>
      <c r="H403" s="67"/>
      <c r="I403" s="67"/>
      <c r="J403" s="67"/>
      <c r="K403" s="67"/>
      <c r="L403" s="67"/>
    </row>
    <row r="404" spans="2:12" x14ac:dyDescent="0.3">
      <c r="B404" s="67"/>
      <c r="C404" s="67"/>
      <c r="D404" s="67"/>
      <c r="E404" s="67"/>
      <c r="F404" s="67"/>
      <c r="G404" s="67"/>
      <c r="H404" s="67"/>
      <c r="I404" s="67"/>
      <c r="J404" s="67"/>
      <c r="K404" s="67"/>
      <c r="L404" s="67"/>
    </row>
    <row r="405" spans="2:12" x14ac:dyDescent="0.3">
      <c r="B405" s="67"/>
      <c r="C405" s="67"/>
      <c r="D405" s="67"/>
      <c r="E405" s="67"/>
      <c r="F405" s="67"/>
      <c r="G405" s="67"/>
      <c r="H405" s="67"/>
      <c r="I405" s="67"/>
      <c r="J405" s="67"/>
      <c r="K405" s="67"/>
      <c r="L405" s="67"/>
    </row>
    <row r="406" spans="2:12" x14ac:dyDescent="0.3">
      <c r="B406" s="67"/>
      <c r="C406" s="67"/>
      <c r="D406" s="67"/>
      <c r="E406" s="67"/>
      <c r="F406" s="67"/>
      <c r="G406" s="67"/>
      <c r="H406" s="67"/>
      <c r="I406" s="67"/>
      <c r="J406" s="67"/>
      <c r="K406" s="67"/>
      <c r="L406" s="67"/>
    </row>
    <row r="407" spans="2:12" x14ac:dyDescent="0.3">
      <c r="B407" s="67"/>
      <c r="C407" s="67"/>
      <c r="D407" s="67"/>
      <c r="E407" s="67"/>
      <c r="F407" s="67"/>
      <c r="G407" s="67"/>
      <c r="H407" s="67"/>
      <c r="I407" s="67"/>
      <c r="J407" s="67"/>
      <c r="K407" s="67"/>
      <c r="L407" s="67"/>
    </row>
    <row r="408" spans="2:12" x14ac:dyDescent="0.3">
      <c r="B408" s="67"/>
      <c r="C408" s="67"/>
      <c r="D408" s="67"/>
      <c r="E408" s="67"/>
      <c r="F408" s="67"/>
      <c r="G408" s="67"/>
      <c r="H408" s="67"/>
      <c r="I408" s="67"/>
      <c r="J408" s="67"/>
      <c r="K408" s="67"/>
      <c r="L408" s="67"/>
    </row>
    <row r="409" spans="2:12" x14ac:dyDescent="0.3">
      <c r="B409" s="67"/>
      <c r="C409" s="67"/>
      <c r="D409" s="67"/>
      <c r="E409" s="67"/>
      <c r="F409" s="67"/>
      <c r="G409" s="67"/>
      <c r="H409" s="67"/>
      <c r="I409" s="67"/>
      <c r="J409" s="67"/>
      <c r="K409" s="67"/>
      <c r="L409" s="67"/>
    </row>
    <row r="410" spans="2:12" x14ac:dyDescent="0.3">
      <c r="B410" s="67"/>
      <c r="C410" s="67"/>
      <c r="D410" s="67"/>
      <c r="E410" s="67"/>
      <c r="F410" s="67"/>
      <c r="G410" s="67"/>
      <c r="H410" s="67"/>
      <c r="I410" s="67"/>
      <c r="J410" s="67"/>
      <c r="K410" s="67"/>
      <c r="L410" s="67"/>
    </row>
    <row r="411" spans="2:12" x14ac:dyDescent="0.3">
      <c r="B411" s="67"/>
      <c r="C411" s="67"/>
      <c r="D411" s="67"/>
      <c r="E411" s="67"/>
      <c r="F411" s="67"/>
      <c r="G411" s="67"/>
      <c r="H411" s="67"/>
      <c r="I411" s="67"/>
      <c r="J411" s="67"/>
      <c r="K411" s="67"/>
      <c r="L411" s="67"/>
    </row>
    <row r="412" spans="2:12" x14ac:dyDescent="0.3">
      <c r="B412" s="67"/>
      <c r="C412" s="67"/>
      <c r="D412" s="67"/>
      <c r="E412" s="67"/>
      <c r="F412" s="67"/>
      <c r="G412" s="67"/>
      <c r="H412" s="67"/>
      <c r="I412" s="67"/>
      <c r="J412" s="67"/>
      <c r="K412" s="67"/>
      <c r="L412" s="67"/>
    </row>
    <row r="413" spans="2:12" x14ac:dyDescent="0.3">
      <c r="B413" s="67"/>
      <c r="C413" s="67"/>
      <c r="D413" s="67"/>
      <c r="E413" s="67"/>
      <c r="F413" s="67"/>
      <c r="G413" s="67"/>
      <c r="H413" s="67"/>
      <c r="I413" s="67"/>
      <c r="J413" s="67"/>
      <c r="K413" s="67"/>
      <c r="L413" s="67"/>
    </row>
    <row r="414" spans="2:12" x14ac:dyDescent="0.3">
      <c r="B414" s="67"/>
      <c r="C414" s="67"/>
      <c r="D414" s="67"/>
      <c r="E414" s="67"/>
      <c r="F414" s="67"/>
      <c r="G414" s="67"/>
      <c r="H414" s="67"/>
      <c r="I414" s="67"/>
      <c r="J414" s="67"/>
      <c r="K414" s="67"/>
      <c r="L414" s="67"/>
    </row>
    <row r="415" spans="2:12" x14ac:dyDescent="0.3">
      <c r="B415" s="67"/>
      <c r="C415" s="67"/>
      <c r="D415" s="67"/>
      <c r="E415" s="67"/>
      <c r="F415" s="67"/>
      <c r="G415" s="67"/>
      <c r="H415" s="67"/>
      <c r="I415" s="67"/>
      <c r="J415" s="67"/>
      <c r="K415" s="67"/>
      <c r="L415" s="67"/>
    </row>
    <row r="416" spans="2:12" x14ac:dyDescent="0.3">
      <c r="B416" s="67"/>
      <c r="C416" s="67"/>
      <c r="D416" s="67"/>
      <c r="E416" s="67"/>
      <c r="F416" s="67"/>
      <c r="G416" s="67"/>
      <c r="H416" s="67"/>
      <c r="I416" s="67"/>
      <c r="J416" s="67"/>
      <c r="K416" s="67"/>
      <c r="L416" s="67"/>
    </row>
    <row r="417" spans="2:12" x14ac:dyDescent="0.3">
      <c r="B417" s="67"/>
      <c r="C417" s="67"/>
      <c r="D417" s="67"/>
      <c r="E417" s="67"/>
      <c r="F417" s="67"/>
      <c r="G417" s="67"/>
      <c r="H417" s="67"/>
      <c r="I417" s="67"/>
      <c r="J417" s="67"/>
      <c r="K417" s="67"/>
      <c r="L417" s="67"/>
    </row>
    <row r="418" spans="2:12" x14ac:dyDescent="0.3">
      <c r="B418" s="67"/>
      <c r="C418" s="67"/>
      <c r="D418" s="67"/>
      <c r="E418" s="67"/>
      <c r="F418" s="67"/>
      <c r="G418" s="67"/>
      <c r="H418" s="67"/>
      <c r="I418" s="67"/>
      <c r="J418" s="67"/>
      <c r="K418" s="67"/>
      <c r="L418" s="67"/>
    </row>
    <row r="419" spans="2:12" x14ac:dyDescent="0.3">
      <c r="B419" s="67"/>
      <c r="C419" s="67"/>
      <c r="D419" s="67"/>
      <c r="E419" s="67"/>
      <c r="F419" s="67"/>
      <c r="G419" s="67"/>
      <c r="H419" s="67"/>
      <c r="I419" s="67"/>
      <c r="J419" s="67"/>
      <c r="K419" s="67"/>
      <c r="L419" s="67"/>
    </row>
    <row r="420" spans="2:12" x14ac:dyDescent="0.3">
      <c r="B420" s="67"/>
      <c r="C420" s="67"/>
      <c r="D420" s="67"/>
      <c r="E420" s="67"/>
      <c r="F420" s="67"/>
      <c r="G420" s="67"/>
      <c r="H420" s="67"/>
      <c r="I420" s="67"/>
      <c r="J420" s="67"/>
      <c r="K420" s="67"/>
      <c r="L420" s="67"/>
    </row>
    <row r="421" spans="2:12" x14ac:dyDescent="0.3">
      <c r="B421" s="67"/>
      <c r="C421" s="67"/>
      <c r="D421" s="67"/>
      <c r="E421" s="67"/>
      <c r="F421" s="67"/>
      <c r="G421" s="67"/>
      <c r="H421" s="67"/>
      <c r="I421" s="67"/>
      <c r="J421" s="67"/>
      <c r="K421" s="67"/>
      <c r="L421" s="67"/>
    </row>
    <row r="422" spans="2:12" x14ac:dyDescent="0.3">
      <c r="B422" s="67"/>
      <c r="C422" s="67"/>
      <c r="D422" s="67"/>
      <c r="E422" s="67"/>
      <c r="F422" s="67"/>
      <c r="G422" s="67"/>
      <c r="H422" s="67"/>
      <c r="I422" s="67"/>
      <c r="J422" s="67"/>
      <c r="K422" s="67"/>
      <c r="L422" s="67"/>
    </row>
    <row r="423" spans="2:12" x14ac:dyDescent="0.3">
      <c r="B423" s="67"/>
      <c r="C423" s="67"/>
      <c r="D423" s="67"/>
      <c r="E423" s="67"/>
      <c r="F423" s="67"/>
      <c r="G423" s="67"/>
      <c r="H423" s="67"/>
      <c r="I423" s="67"/>
      <c r="J423" s="67"/>
      <c r="K423" s="67"/>
      <c r="L423" s="67"/>
    </row>
    <row r="424" spans="2:12" x14ac:dyDescent="0.3">
      <c r="B424" s="67"/>
      <c r="C424" s="67"/>
      <c r="D424" s="67"/>
      <c r="E424" s="67"/>
      <c r="F424" s="67"/>
      <c r="G424" s="67"/>
      <c r="H424" s="67"/>
      <c r="I424" s="67"/>
      <c r="J424" s="67"/>
      <c r="K424" s="67"/>
      <c r="L424" s="67"/>
    </row>
    <row r="425" spans="2:12" x14ac:dyDescent="0.3">
      <c r="B425" s="67"/>
      <c r="C425" s="67"/>
      <c r="D425" s="67"/>
      <c r="E425" s="67"/>
      <c r="F425" s="67"/>
      <c r="G425" s="67"/>
      <c r="H425" s="67"/>
      <c r="I425" s="67"/>
      <c r="J425" s="67"/>
      <c r="K425" s="67"/>
      <c r="L425" s="67"/>
    </row>
    <row r="426" spans="2:12" x14ac:dyDescent="0.3">
      <c r="B426" s="67"/>
      <c r="C426" s="67"/>
      <c r="D426" s="67"/>
      <c r="E426" s="67"/>
      <c r="F426" s="67"/>
      <c r="G426" s="67"/>
      <c r="H426" s="67"/>
      <c r="I426" s="67"/>
      <c r="J426" s="67"/>
      <c r="K426" s="67"/>
      <c r="L426" s="67"/>
    </row>
    <row r="427" spans="2:12" x14ac:dyDescent="0.3">
      <c r="B427" s="67"/>
      <c r="C427" s="67"/>
      <c r="D427" s="67"/>
      <c r="E427" s="67"/>
      <c r="F427" s="67"/>
      <c r="G427" s="67"/>
      <c r="H427" s="67"/>
      <c r="I427" s="67"/>
      <c r="J427" s="67"/>
      <c r="K427" s="67"/>
      <c r="L427" s="67"/>
    </row>
    <row r="428" spans="2:12" x14ac:dyDescent="0.3">
      <c r="B428" s="67"/>
      <c r="C428" s="67"/>
      <c r="D428" s="67"/>
      <c r="E428" s="67"/>
      <c r="F428" s="67"/>
      <c r="G428" s="67"/>
      <c r="H428" s="67"/>
      <c r="I428" s="67"/>
      <c r="J428" s="67"/>
      <c r="K428" s="67"/>
      <c r="L428" s="67"/>
    </row>
    <row r="429" spans="2:12" x14ac:dyDescent="0.3">
      <c r="B429" s="67"/>
      <c r="C429" s="67"/>
      <c r="D429" s="67"/>
      <c r="E429" s="67"/>
      <c r="F429" s="67"/>
      <c r="G429" s="67"/>
      <c r="H429" s="67"/>
      <c r="I429" s="67"/>
      <c r="J429" s="67"/>
      <c r="K429" s="67"/>
      <c r="L429" s="67"/>
    </row>
    <row r="430" spans="2:12" x14ac:dyDescent="0.3">
      <c r="B430" s="67"/>
      <c r="C430" s="67"/>
      <c r="D430" s="67"/>
      <c r="E430" s="67"/>
      <c r="F430" s="67"/>
      <c r="G430" s="67"/>
      <c r="H430" s="67"/>
      <c r="I430" s="67"/>
      <c r="J430" s="67"/>
      <c r="K430" s="67"/>
      <c r="L430" s="67"/>
    </row>
    <row r="431" spans="2:12" x14ac:dyDescent="0.3">
      <c r="B431" s="67"/>
      <c r="C431" s="67"/>
      <c r="D431" s="67"/>
      <c r="E431" s="67"/>
      <c r="F431" s="67"/>
      <c r="G431" s="67"/>
      <c r="H431" s="67"/>
      <c r="I431" s="67"/>
      <c r="J431" s="67"/>
      <c r="K431" s="67"/>
      <c r="L431" s="67"/>
    </row>
    <row r="432" spans="2:12" x14ac:dyDescent="0.3">
      <c r="B432" s="67"/>
      <c r="C432" s="67"/>
      <c r="D432" s="67"/>
      <c r="E432" s="67"/>
      <c r="F432" s="67"/>
      <c r="G432" s="67"/>
      <c r="H432" s="67"/>
      <c r="I432" s="67"/>
      <c r="J432" s="67"/>
      <c r="K432" s="67"/>
      <c r="L432" s="67"/>
    </row>
    <row r="433" spans="2:12" x14ac:dyDescent="0.3">
      <c r="B433" s="67"/>
      <c r="C433" s="67"/>
      <c r="D433" s="67"/>
      <c r="E433" s="67"/>
      <c r="F433" s="67"/>
      <c r="G433" s="67"/>
      <c r="H433" s="67"/>
      <c r="I433" s="67"/>
      <c r="J433" s="67"/>
      <c r="K433" s="67"/>
      <c r="L433" s="67"/>
    </row>
    <row r="434" spans="2:12" x14ac:dyDescent="0.3">
      <c r="B434" s="67"/>
      <c r="C434" s="67"/>
      <c r="D434" s="67"/>
      <c r="E434" s="67"/>
      <c r="F434" s="67"/>
      <c r="G434" s="67"/>
      <c r="H434" s="67"/>
      <c r="I434" s="67"/>
      <c r="J434" s="67"/>
      <c r="K434" s="67"/>
      <c r="L434" s="67"/>
    </row>
    <row r="435" spans="2:12" x14ac:dyDescent="0.3">
      <c r="B435" s="67"/>
      <c r="C435" s="67"/>
      <c r="D435" s="67"/>
      <c r="E435" s="67"/>
      <c r="F435" s="67"/>
      <c r="G435" s="67"/>
      <c r="H435" s="67"/>
      <c r="I435" s="67"/>
      <c r="J435" s="67"/>
      <c r="K435" s="67"/>
      <c r="L435" s="67"/>
    </row>
    <row r="436" spans="2:12" x14ac:dyDescent="0.3">
      <c r="B436" s="67"/>
      <c r="C436" s="67"/>
      <c r="D436" s="67"/>
      <c r="E436" s="67"/>
      <c r="F436" s="67"/>
      <c r="G436" s="67"/>
      <c r="H436" s="67"/>
      <c r="I436" s="67"/>
      <c r="J436" s="67"/>
      <c r="K436" s="67"/>
      <c r="L436" s="67"/>
    </row>
    <row r="437" spans="2:12" x14ac:dyDescent="0.3">
      <c r="B437" s="67"/>
      <c r="C437" s="67"/>
      <c r="D437" s="67"/>
      <c r="E437" s="67"/>
      <c r="F437" s="67"/>
      <c r="G437" s="67"/>
      <c r="H437" s="67"/>
      <c r="I437" s="67"/>
      <c r="J437" s="67"/>
      <c r="K437" s="67"/>
      <c r="L437" s="67"/>
    </row>
    <row r="438" spans="2:12" x14ac:dyDescent="0.3">
      <c r="B438" s="67"/>
      <c r="C438" s="67"/>
      <c r="D438" s="67"/>
      <c r="E438" s="67"/>
      <c r="F438" s="67"/>
      <c r="G438" s="67"/>
      <c r="H438" s="67"/>
      <c r="I438" s="67"/>
      <c r="J438" s="67"/>
      <c r="K438" s="67"/>
      <c r="L438" s="67"/>
    </row>
    <row r="439" spans="2:12" x14ac:dyDescent="0.3">
      <c r="B439" s="67"/>
      <c r="C439" s="67"/>
      <c r="D439" s="67"/>
      <c r="E439" s="67"/>
      <c r="F439" s="67"/>
      <c r="G439" s="67"/>
      <c r="H439" s="67"/>
      <c r="I439" s="67"/>
      <c r="J439" s="67"/>
      <c r="K439" s="67"/>
      <c r="L439" s="67"/>
    </row>
    <row r="440" spans="2:12" x14ac:dyDescent="0.3">
      <c r="B440" s="67"/>
      <c r="C440" s="67"/>
      <c r="D440" s="67"/>
      <c r="E440" s="67"/>
      <c r="F440" s="67"/>
      <c r="G440" s="67"/>
      <c r="H440" s="67"/>
      <c r="I440" s="67"/>
      <c r="J440" s="67"/>
      <c r="K440" s="67"/>
      <c r="L440" s="67"/>
    </row>
    <row r="441" spans="2:12" x14ac:dyDescent="0.3">
      <c r="B441" s="67"/>
      <c r="C441" s="67"/>
      <c r="D441" s="67"/>
      <c r="E441" s="67"/>
      <c r="F441" s="67"/>
      <c r="G441" s="67"/>
      <c r="H441" s="67"/>
      <c r="I441" s="67"/>
      <c r="J441" s="67"/>
      <c r="K441" s="67"/>
      <c r="L441" s="67"/>
    </row>
    <row r="442" spans="2:12" x14ac:dyDescent="0.3">
      <c r="B442" s="67"/>
      <c r="C442" s="67"/>
      <c r="D442" s="67"/>
      <c r="E442" s="67"/>
      <c r="F442" s="67"/>
      <c r="G442" s="67"/>
      <c r="H442" s="67"/>
      <c r="I442" s="67"/>
      <c r="J442" s="67"/>
      <c r="K442" s="67"/>
      <c r="L442" s="67"/>
    </row>
    <row r="443" spans="2:12" x14ac:dyDescent="0.3">
      <c r="B443" s="67"/>
      <c r="C443" s="67"/>
      <c r="D443" s="67"/>
      <c r="E443" s="67"/>
      <c r="F443" s="67"/>
      <c r="G443" s="67"/>
      <c r="H443" s="67"/>
      <c r="I443" s="67"/>
      <c r="J443" s="67"/>
      <c r="K443" s="67"/>
      <c r="L443" s="67"/>
    </row>
    <row r="444" spans="2:12" x14ac:dyDescent="0.3">
      <c r="B444" s="67"/>
      <c r="C444" s="67"/>
      <c r="D444" s="67"/>
      <c r="E444" s="67"/>
      <c r="F444" s="67"/>
      <c r="G444" s="67"/>
      <c r="H444" s="67"/>
      <c r="I444" s="67"/>
      <c r="J444" s="67"/>
      <c r="K444" s="67"/>
      <c r="L444" s="67"/>
    </row>
    <row r="445" spans="2:12" x14ac:dyDescent="0.3">
      <c r="B445" s="67"/>
      <c r="C445" s="67"/>
      <c r="D445" s="67"/>
      <c r="E445" s="67"/>
      <c r="F445" s="67"/>
      <c r="G445" s="67"/>
      <c r="H445" s="67"/>
      <c r="I445" s="67"/>
      <c r="J445" s="67"/>
      <c r="K445" s="67"/>
      <c r="L445" s="67"/>
    </row>
    <row r="446" spans="2:12" x14ac:dyDescent="0.3">
      <c r="B446" s="67"/>
      <c r="C446" s="67"/>
      <c r="D446" s="67"/>
      <c r="E446" s="67"/>
      <c r="F446" s="67"/>
      <c r="G446" s="67"/>
      <c r="H446" s="67"/>
      <c r="I446" s="67"/>
      <c r="J446" s="67"/>
      <c r="K446" s="67"/>
      <c r="L446" s="67"/>
    </row>
    <row r="447" spans="2:12" x14ac:dyDescent="0.3">
      <c r="B447" s="67"/>
      <c r="C447" s="67"/>
      <c r="D447" s="67"/>
      <c r="E447" s="67"/>
      <c r="F447" s="67"/>
      <c r="G447" s="67"/>
      <c r="H447" s="67"/>
      <c r="I447" s="67"/>
      <c r="J447" s="67"/>
      <c r="K447" s="67"/>
      <c r="L447" s="67"/>
    </row>
    <row r="448" spans="2:12" x14ac:dyDescent="0.3">
      <c r="B448" s="67"/>
      <c r="C448" s="67"/>
      <c r="D448" s="67"/>
      <c r="E448" s="67"/>
      <c r="F448" s="67"/>
      <c r="G448" s="67"/>
      <c r="H448" s="67"/>
      <c r="I448" s="67"/>
      <c r="J448" s="67"/>
      <c r="K448" s="67"/>
      <c r="L448" s="67"/>
    </row>
    <row r="449" spans="2:12" x14ac:dyDescent="0.3">
      <c r="B449" s="67"/>
      <c r="C449" s="67"/>
      <c r="D449" s="67"/>
      <c r="E449" s="67"/>
      <c r="F449" s="67"/>
      <c r="G449" s="67"/>
      <c r="H449" s="67"/>
      <c r="I449" s="67"/>
      <c r="J449" s="67"/>
      <c r="K449" s="67"/>
      <c r="L449" s="67"/>
    </row>
    <row r="450" spans="2:12" x14ac:dyDescent="0.3">
      <c r="B450" s="67"/>
      <c r="C450" s="67"/>
      <c r="D450" s="67"/>
      <c r="E450" s="67"/>
      <c r="F450" s="67"/>
      <c r="G450" s="67"/>
      <c r="H450" s="67"/>
      <c r="I450" s="67"/>
      <c r="J450" s="67"/>
      <c r="K450" s="67"/>
      <c r="L450" s="67"/>
    </row>
    <row r="451" spans="2:12" x14ac:dyDescent="0.3">
      <c r="B451" s="67"/>
      <c r="C451" s="67"/>
      <c r="D451" s="67"/>
      <c r="E451" s="67"/>
      <c r="F451" s="67"/>
      <c r="G451" s="67"/>
      <c r="H451" s="67"/>
      <c r="I451" s="67"/>
      <c r="J451" s="67"/>
      <c r="K451" s="67"/>
      <c r="L451" s="67"/>
    </row>
    <row r="452" spans="2:12" x14ac:dyDescent="0.3">
      <c r="B452" s="67"/>
      <c r="C452" s="67"/>
      <c r="D452" s="67"/>
      <c r="E452" s="67"/>
      <c r="F452" s="67"/>
      <c r="G452" s="67"/>
      <c r="H452" s="67"/>
      <c r="I452" s="67"/>
      <c r="J452" s="67"/>
      <c r="K452" s="67"/>
      <c r="L452" s="67"/>
    </row>
    <row r="453" spans="2:12" x14ac:dyDescent="0.3">
      <c r="B453" s="67"/>
      <c r="C453" s="67"/>
      <c r="D453" s="67"/>
      <c r="E453" s="67"/>
      <c r="F453" s="67"/>
      <c r="G453" s="67"/>
      <c r="H453" s="67"/>
      <c r="I453" s="67"/>
      <c r="J453" s="67"/>
      <c r="K453" s="67"/>
      <c r="L453" s="67"/>
    </row>
    <row r="454" spans="2:12" x14ac:dyDescent="0.3">
      <c r="B454" s="67"/>
      <c r="C454" s="67"/>
      <c r="D454" s="67"/>
      <c r="E454" s="67"/>
      <c r="F454" s="67"/>
      <c r="G454" s="67"/>
      <c r="H454" s="67"/>
      <c r="I454" s="67"/>
      <c r="J454" s="67"/>
      <c r="K454" s="67"/>
      <c r="L454" s="67"/>
    </row>
    <row r="455" spans="2:12" x14ac:dyDescent="0.3">
      <c r="B455" s="67"/>
      <c r="C455" s="67"/>
      <c r="D455" s="67"/>
      <c r="E455" s="67"/>
      <c r="F455" s="67"/>
      <c r="G455" s="67"/>
      <c r="H455" s="67"/>
      <c r="I455" s="67"/>
      <c r="J455" s="67"/>
      <c r="K455" s="67"/>
      <c r="L455" s="67"/>
    </row>
    <row r="456" spans="2:12" x14ac:dyDescent="0.3">
      <c r="B456" s="67"/>
      <c r="C456" s="67"/>
      <c r="D456" s="67"/>
      <c r="E456" s="67"/>
      <c r="F456" s="67"/>
      <c r="G456" s="67"/>
      <c r="H456" s="67"/>
      <c r="I456" s="67"/>
      <c r="J456" s="67"/>
      <c r="K456" s="67"/>
      <c r="L456" s="67"/>
    </row>
    <row r="457" spans="2:12" x14ac:dyDescent="0.3">
      <c r="B457" s="67"/>
      <c r="C457" s="67"/>
      <c r="D457" s="67"/>
      <c r="E457" s="67"/>
      <c r="F457" s="67"/>
      <c r="G457" s="67"/>
      <c r="H457" s="67"/>
      <c r="I457" s="67"/>
      <c r="J457" s="67"/>
      <c r="K457" s="67"/>
      <c r="L457" s="67"/>
    </row>
    <row r="458" spans="2:12" x14ac:dyDescent="0.3">
      <c r="B458" s="67"/>
      <c r="C458" s="67"/>
      <c r="D458" s="67"/>
      <c r="E458" s="67"/>
      <c r="F458" s="67"/>
      <c r="G458" s="67"/>
      <c r="H458" s="67"/>
      <c r="I458" s="67"/>
      <c r="J458" s="67"/>
      <c r="K458" s="67"/>
      <c r="L458" s="67"/>
    </row>
    <row r="459" spans="2:12" x14ac:dyDescent="0.3">
      <c r="B459" s="67"/>
      <c r="C459" s="67"/>
      <c r="D459" s="67"/>
      <c r="E459" s="67"/>
      <c r="F459" s="67"/>
      <c r="G459" s="67"/>
      <c r="H459" s="67"/>
      <c r="I459" s="67"/>
      <c r="J459" s="67"/>
      <c r="K459" s="67"/>
      <c r="L459" s="67"/>
    </row>
    <row r="460" spans="2:12" x14ac:dyDescent="0.3">
      <c r="B460" s="67"/>
      <c r="C460" s="67"/>
      <c r="D460" s="67"/>
      <c r="E460" s="67"/>
      <c r="F460" s="67"/>
      <c r="G460" s="67"/>
      <c r="H460" s="67"/>
      <c r="I460" s="67"/>
      <c r="J460" s="67"/>
      <c r="K460" s="67"/>
      <c r="L460" s="67"/>
    </row>
    <row r="461" spans="2:12" x14ac:dyDescent="0.3">
      <c r="B461" s="67"/>
      <c r="C461" s="67"/>
      <c r="D461" s="67"/>
      <c r="E461" s="67"/>
      <c r="F461" s="67"/>
      <c r="G461" s="67"/>
      <c r="H461" s="67"/>
      <c r="I461" s="67"/>
      <c r="J461" s="67"/>
      <c r="K461" s="67"/>
      <c r="L461" s="67"/>
    </row>
    <row r="462" spans="2:12" x14ac:dyDescent="0.3">
      <c r="B462" s="67"/>
      <c r="C462" s="67"/>
      <c r="D462" s="67"/>
      <c r="E462" s="67"/>
      <c r="F462" s="67"/>
      <c r="G462" s="67"/>
      <c r="H462" s="67"/>
      <c r="I462" s="67"/>
      <c r="J462" s="67"/>
      <c r="K462" s="67"/>
      <c r="L462" s="67"/>
    </row>
    <row r="463" spans="2:12" x14ac:dyDescent="0.3">
      <c r="B463" s="67"/>
      <c r="C463" s="67"/>
      <c r="D463" s="67"/>
      <c r="E463" s="67"/>
      <c r="F463" s="67"/>
      <c r="G463" s="67"/>
      <c r="H463" s="67"/>
      <c r="I463" s="67"/>
      <c r="J463" s="67"/>
      <c r="K463" s="67"/>
      <c r="L463" s="67"/>
    </row>
    <row r="464" spans="2:12" x14ac:dyDescent="0.3">
      <c r="B464" s="67"/>
      <c r="C464" s="67"/>
      <c r="D464" s="67"/>
      <c r="E464" s="67"/>
      <c r="F464" s="67"/>
      <c r="G464" s="67"/>
      <c r="H464" s="67"/>
      <c r="I464" s="67"/>
      <c r="J464" s="67"/>
      <c r="K464" s="67"/>
      <c r="L464" s="67"/>
    </row>
    <row r="465" spans="2:12" x14ac:dyDescent="0.3">
      <c r="B465" s="67"/>
      <c r="C465" s="67"/>
      <c r="D465" s="67"/>
      <c r="E465" s="67"/>
      <c r="F465" s="67"/>
      <c r="G465" s="67"/>
      <c r="H465" s="67"/>
      <c r="I465" s="67"/>
      <c r="J465" s="67"/>
      <c r="K465" s="67"/>
      <c r="L465" s="67"/>
    </row>
    <row r="466" spans="2:12" x14ac:dyDescent="0.3">
      <c r="B466" s="67"/>
      <c r="C466" s="67"/>
      <c r="D466" s="67"/>
      <c r="E466" s="67"/>
      <c r="F466" s="67"/>
      <c r="G466" s="67"/>
      <c r="H466" s="67"/>
      <c r="I466" s="67"/>
      <c r="J466" s="67"/>
      <c r="K466" s="67"/>
      <c r="L466" s="67"/>
    </row>
    <row r="467" spans="2:12" x14ac:dyDescent="0.3">
      <c r="B467" s="67"/>
      <c r="C467" s="67"/>
      <c r="D467" s="67"/>
      <c r="E467" s="67"/>
      <c r="F467" s="67"/>
      <c r="G467" s="67"/>
      <c r="H467" s="67"/>
      <c r="I467" s="67"/>
      <c r="J467" s="67"/>
      <c r="K467" s="67"/>
      <c r="L467" s="67"/>
    </row>
    <row r="468" spans="2:12" x14ac:dyDescent="0.3">
      <c r="B468" s="67"/>
      <c r="C468" s="67"/>
      <c r="D468" s="67"/>
      <c r="E468" s="67"/>
      <c r="F468" s="67"/>
      <c r="G468" s="67"/>
      <c r="H468" s="67"/>
      <c r="I468" s="67"/>
      <c r="J468" s="67"/>
      <c r="K468" s="67"/>
      <c r="L468" s="67"/>
    </row>
    <row r="469" spans="2:12" x14ac:dyDescent="0.3">
      <c r="B469" s="67"/>
      <c r="C469" s="67"/>
      <c r="D469" s="67"/>
      <c r="E469" s="67"/>
      <c r="F469" s="67"/>
      <c r="G469" s="67"/>
      <c r="H469" s="67"/>
      <c r="I469" s="67"/>
      <c r="J469" s="67"/>
      <c r="K469" s="67"/>
      <c r="L469" s="67"/>
    </row>
    <row r="470" spans="2:12" x14ac:dyDescent="0.3">
      <c r="B470" s="67"/>
      <c r="C470" s="67"/>
      <c r="D470" s="67"/>
      <c r="E470" s="67"/>
      <c r="F470" s="67"/>
      <c r="G470" s="67"/>
      <c r="H470" s="67"/>
      <c r="I470" s="67"/>
      <c r="J470" s="67"/>
      <c r="K470" s="67"/>
      <c r="L470" s="67"/>
    </row>
    <row r="471" spans="2:12" x14ac:dyDescent="0.3">
      <c r="B471" s="67"/>
      <c r="C471" s="67"/>
      <c r="D471" s="67"/>
      <c r="E471" s="67"/>
      <c r="F471" s="67"/>
      <c r="G471" s="67"/>
      <c r="H471" s="67"/>
      <c r="I471" s="67"/>
      <c r="J471" s="67"/>
      <c r="K471" s="67"/>
      <c r="L471" s="67"/>
    </row>
    <row r="472" spans="2:12" x14ac:dyDescent="0.3">
      <c r="B472" s="67"/>
      <c r="C472" s="67"/>
      <c r="D472" s="67"/>
      <c r="E472" s="67"/>
      <c r="F472" s="67"/>
      <c r="G472" s="67"/>
      <c r="H472" s="67"/>
      <c r="I472" s="67"/>
      <c r="J472" s="67"/>
      <c r="K472" s="67"/>
      <c r="L472" s="67"/>
    </row>
    <row r="473" spans="2:12" x14ac:dyDescent="0.3">
      <c r="B473" s="67"/>
      <c r="C473" s="67"/>
      <c r="D473" s="67"/>
      <c r="E473" s="67"/>
      <c r="F473" s="67"/>
      <c r="G473" s="67"/>
      <c r="H473" s="67"/>
      <c r="I473" s="67"/>
      <c r="J473" s="67"/>
      <c r="K473" s="67"/>
      <c r="L473" s="67"/>
    </row>
    <row r="474" spans="2:12" x14ac:dyDescent="0.3">
      <c r="B474" s="67"/>
      <c r="C474" s="67"/>
      <c r="D474" s="67"/>
      <c r="E474" s="67"/>
      <c r="F474" s="67"/>
      <c r="G474" s="67"/>
      <c r="H474" s="67"/>
      <c r="I474" s="67"/>
      <c r="J474" s="67"/>
      <c r="K474" s="67"/>
      <c r="L474" s="67"/>
    </row>
    <row r="475" spans="2:12" x14ac:dyDescent="0.3">
      <c r="B475" s="67"/>
      <c r="C475" s="67"/>
      <c r="D475" s="67"/>
      <c r="E475" s="67"/>
      <c r="F475" s="67"/>
      <c r="G475" s="67"/>
      <c r="H475" s="67"/>
      <c r="I475" s="67"/>
      <c r="J475" s="67"/>
      <c r="K475" s="67"/>
      <c r="L475" s="67"/>
    </row>
    <row r="476" spans="2:12" x14ac:dyDescent="0.3">
      <c r="B476" s="67"/>
      <c r="C476" s="67"/>
      <c r="D476" s="67"/>
      <c r="E476" s="67"/>
      <c r="F476" s="67"/>
      <c r="G476" s="67"/>
      <c r="H476" s="67"/>
      <c r="I476" s="67"/>
      <c r="J476" s="67"/>
      <c r="K476" s="67"/>
      <c r="L476" s="67"/>
    </row>
    <row r="477" spans="2:12" x14ac:dyDescent="0.3">
      <c r="B477" s="67"/>
      <c r="C477" s="67"/>
      <c r="D477" s="67"/>
      <c r="E477" s="67"/>
      <c r="F477" s="67"/>
      <c r="G477" s="67"/>
      <c r="H477" s="67"/>
      <c r="I477" s="67"/>
      <c r="J477" s="67"/>
      <c r="K477" s="67"/>
      <c r="L477" s="67"/>
    </row>
    <row r="478" spans="2:12" x14ac:dyDescent="0.3">
      <c r="B478" s="67"/>
      <c r="C478" s="67"/>
      <c r="D478" s="67"/>
      <c r="E478" s="67"/>
      <c r="F478" s="67"/>
      <c r="G478" s="67"/>
      <c r="H478" s="67"/>
      <c r="I478" s="67"/>
      <c r="J478" s="67"/>
      <c r="K478" s="67"/>
      <c r="L478" s="67"/>
    </row>
    <row r="479" spans="2:12" x14ac:dyDescent="0.3">
      <c r="B479" s="67"/>
      <c r="C479" s="67"/>
      <c r="D479" s="67"/>
      <c r="E479" s="67"/>
      <c r="F479" s="67"/>
      <c r="G479" s="67"/>
      <c r="H479" s="67"/>
      <c r="I479" s="67"/>
      <c r="J479" s="67"/>
      <c r="K479" s="67"/>
      <c r="L479" s="67"/>
    </row>
    <row r="480" spans="2:12" x14ac:dyDescent="0.3">
      <c r="B480" s="67"/>
      <c r="C480" s="67"/>
      <c r="D480" s="67"/>
      <c r="E480" s="67"/>
      <c r="F480" s="67"/>
      <c r="G480" s="67"/>
      <c r="H480" s="67"/>
      <c r="I480" s="67"/>
      <c r="J480" s="67"/>
      <c r="K480" s="67"/>
      <c r="L480" s="67"/>
    </row>
    <row r="481" spans="2:12" x14ac:dyDescent="0.3">
      <c r="B481" s="67"/>
      <c r="C481" s="67"/>
      <c r="D481" s="67"/>
      <c r="E481" s="67"/>
      <c r="F481" s="67"/>
      <c r="G481" s="67"/>
      <c r="H481" s="67"/>
      <c r="I481" s="67"/>
      <c r="J481" s="67"/>
      <c r="K481" s="67"/>
      <c r="L481" s="67"/>
    </row>
    <row r="482" spans="2:12" x14ac:dyDescent="0.3">
      <c r="B482" s="67"/>
      <c r="C482" s="67"/>
      <c r="D482" s="67"/>
      <c r="E482" s="67"/>
      <c r="F482" s="67"/>
      <c r="G482" s="67"/>
      <c r="H482" s="67"/>
      <c r="I482" s="67"/>
      <c r="J482" s="67"/>
      <c r="K482" s="67"/>
      <c r="L482" s="67"/>
    </row>
    <row r="483" spans="2:12" x14ac:dyDescent="0.3">
      <c r="B483" s="67"/>
      <c r="C483" s="67"/>
      <c r="D483" s="67"/>
      <c r="E483" s="67"/>
      <c r="F483" s="67"/>
      <c r="G483" s="67"/>
      <c r="H483" s="67"/>
      <c r="I483" s="67"/>
      <c r="J483" s="67"/>
      <c r="K483" s="67"/>
      <c r="L483" s="67"/>
    </row>
    <row r="484" spans="2:12" x14ac:dyDescent="0.3">
      <c r="B484" s="67"/>
      <c r="C484" s="67"/>
      <c r="D484" s="67"/>
      <c r="E484" s="67"/>
      <c r="F484" s="67"/>
      <c r="G484" s="67"/>
      <c r="H484" s="67"/>
      <c r="I484" s="67"/>
      <c r="J484" s="67"/>
      <c r="K484" s="67"/>
      <c r="L484" s="67"/>
    </row>
    <row r="485" spans="2:12" x14ac:dyDescent="0.3">
      <c r="B485" s="67"/>
      <c r="C485" s="67"/>
      <c r="D485" s="67"/>
      <c r="E485" s="67"/>
      <c r="F485" s="67"/>
      <c r="G485" s="67"/>
      <c r="H485" s="67"/>
      <c r="I485" s="67"/>
      <c r="J485" s="67"/>
      <c r="K485" s="67"/>
      <c r="L485" s="67"/>
    </row>
    <row r="486" spans="2:12" x14ac:dyDescent="0.3">
      <c r="B486" s="67"/>
      <c r="C486" s="67"/>
      <c r="D486" s="67"/>
      <c r="E486" s="67"/>
      <c r="F486" s="67"/>
      <c r="G486" s="67"/>
      <c r="H486" s="67"/>
      <c r="I486" s="67"/>
      <c r="J486" s="67"/>
      <c r="K486" s="67"/>
      <c r="L486" s="67"/>
    </row>
    <row r="487" spans="2:12" x14ac:dyDescent="0.3">
      <c r="B487" s="67"/>
      <c r="C487" s="67"/>
      <c r="D487" s="67"/>
      <c r="E487" s="67"/>
      <c r="F487" s="67"/>
      <c r="G487" s="67"/>
      <c r="H487" s="67"/>
      <c r="I487" s="67"/>
      <c r="J487" s="67"/>
      <c r="K487" s="67"/>
      <c r="L487" s="67"/>
    </row>
    <row r="488" spans="2:12" x14ac:dyDescent="0.3">
      <c r="B488" s="67"/>
      <c r="C488" s="67"/>
      <c r="D488" s="67"/>
      <c r="E488" s="67"/>
      <c r="F488" s="67"/>
      <c r="G488" s="67"/>
      <c r="H488" s="67"/>
      <c r="I488" s="67"/>
      <c r="J488" s="67"/>
      <c r="K488" s="67"/>
      <c r="L488" s="67"/>
    </row>
    <row r="489" spans="2:12" x14ac:dyDescent="0.3">
      <c r="B489" s="67"/>
      <c r="C489" s="67"/>
      <c r="D489" s="67"/>
      <c r="E489" s="67"/>
      <c r="F489" s="67"/>
      <c r="G489" s="67"/>
      <c r="H489" s="67"/>
      <c r="I489" s="67"/>
      <c r="J489" s="67"/>
      <c r="K489" s="67"/>
      <c r="L489" s="67"/>
    </row>
    <row r="490" spans="2:12" x14ac:dyDescent="0.3">
      <c r="B490" s="67"/>
      <c r="C490" s="67"/>
      <c r="D490" s="67"/>
      <c r="E490" s="67"/>
      <c r="F490" s="67"/>
      <c r="G490" s="67"/>
      <c r="H490" s="67"/>
      <c r="I490" s="67"/>
      <c r="J490" s="67"/>
      <c r="K490" s="67"/>
      <c r="L490" s="67"/>
    </row>
    <row r="491" spans="2:12" x14ac:dyDescent="0.3">
      <c r="B491" s="67"/>
      <c r="C491" s="67"/>
      <c r="D491" s="67"/>
      <c r="E491" s="67"/>
      <c r="F491" s="67"/>
      <c r="G491" s="67"/>
      <c r="H491" s="67"/>
      <c r="I491" s="67"/>
      <c r="J491" s="67"/>
      <c r="K491" s="67"/>
      <c r="L491" s="67"/>
    </row>
    <row r="492" spans="2:12" x14ac:dyDescent="0.3">
      <c r="B492" s="67"/>
      <c r="C492" s="67"/>
      <c r="D492" s="67"/>
      <c r="E492" s="67"/>
      <c r="F492" s="67"/>
      <c r="G492" s="67"/>
      <c r="H492" s="67"/>
      <c r="I492" s="67"/>
      <c r="J492" s="67"/>
      <c r="K492" s="67"/>
      <c r="L492" s="67"/>
    </row>
    <row r="493" spans="2:12" x14ac:dyDescent="0.3">
      <c r="B493" s="67"/>
      <c r="C493" s="67"/>
      <c r="D493" s="67"/>
      <c r="E493" s="67"/>
      <c r="F493" s="67"/>
      <c r="G493" s="67"/>
      <c r="H493" s="67"/>
      <c r="I493" s="67"/>
      <c r="J493" s="67"/>
      <c r="K493" s="67"/>
      <c r="L493" s="67"/>
    </row>
    <row r="494" spans="2:12" x14ac:dyDescent="0.3">
      <c r="B494" s="67"/>
      <c r="C494" s="67"/>
      <c r="D494" s="67"/>
      <c r="E494" s="67"/>
      <c r="F494" s="67"/>
      <c r="G494" s="67"/>
      <c r="H494" s="67"/>
      <c r="I494" s="67"/>
      <c r="J494" s="67"/>
      <c r="K494" s="67"/>
      <c r="L494" s="67"/>
    </row>
    <row r="495" spans="2:12" x14ac:dyDescent="0.3">
      <c r="B495" s="67"/>
      <c r="C495" s="67"/>
      <c r="D495" s="67"/>
      <c r="E495" s="67"/>
      <c r="F495" s="67"/>
      <c r="G495" s="67"/>
      <c r="H495" s="67"/>
      <c r="I495" s="67"/>
      <c r="J495" s="67"/>
      <c r="K495" s="67"/>
      <c r="L495" s="67"/>
    </row>
    <row r="496" spans="2:12" x14ac:dyDescent="0.3">
      <c r="B496" s="67"/>
      <c r="C496" s="67"/>
      <c r="D496" s="67"/>
      <c r="E496" s="67"/>
      <c r="F496" s="67"/>
      <c r="G496" s="67"/>
      <c r="H496" s="67"/>
      <c r="I496" s="67"/>
      <c r="J496" s="67"/>
      <c r="K496" s="67"/>
      <c r="L496" s="67"/>
    </row>
    <row r="497" spans="2:12" x14ac:dyDescent="0.3">
      <c r="B497" s="67"/>
      <c r="C497" s="67"/>
      <c r="D497" s="67"/>
      <c r="E497" s="67"/>
      <c r="F497" s="67"/>
      <c r="G497" s="67"/>
      <c r="H497" s="67"/>
      <c r="I497" s="67"/>
      <c r="J497" s="67"/>
      <c r="K497" s="67"/>
      <c r="L497" s="67"/>
    </row>
    <row r="498" spans="2:12" x14ac:dyDescent="0.3">
      <c r="B498" s="67"/>
      <c r="C498" s="67"/>
      <c r="D498" s="67"/>
      <c r="E498" s="67"/>
      <c r="F498" s="67"/>
      <c r="G498" s="67"/>
      <c r="H498" s="67"/>
      <c r="I498" s="67"/>
      <c r="J498" s="67"/>
      <c r="K498" s="67"/>
      <c r="L498" s="67"/>
    </row>
    <row r="499" spans="2:12" x14ac:dyDescent="0.3">
      <c r="B499" s="67"/>
      <c r="C499" s="67"/>
      <c r="D499" s="67"/>
      <c r="E499" s="67"/>
      <c r="F499" s="67"/>
      <c r="G499" s="67"/>
      <c r="H499" s="67"/>
      <c r="I499" s="67"/>
      <c r="J499" s="67"/>
      <c r="K499" s="67"/>
      <c r="L499" s="67"/>
    </row>
    <row r="500" spans="2:12" x14ac:dyDescent="0.3">
      <c r="B500" s="67"/>
      <c r="C500" s="67"/>
      <c r="D500" s="67"/>
      <c r="E500" s="67"/>
      <c r="F500" s="67"/>
      <c r="G500" s="67"/>
      <c r="H500" s="67"/>
      <c r="I500" s="67"/>
      <c r="J500" s="67"/>
      <c r="K500" s="67"/>
      <c r="L500" s="67"/>
    </row>
    <row r="501" spans="2:12" x14ac:dyDescent="0.3">
      <c r="B501" s="67"/>
      <c r="C501" s="67"/>
      <c r="D501" s="67"/>
      <c r="E501" s="67"/>
      <c r="F501" s="67"/>
      <c r="G501" s="67"/>
      <c r="H501" s="67"/>
      <c r="I501" s="67"/>
      <c r="J501" s="67"/>
      <c r="K501" s="67"/>
      <c r="L501" s="67"/>
    </row>
    <row r="502" spans="2:12" x14ac:dyDescent="0.3">
      <c r="B502" s="67"/>
      <c r="C502" s="67"/>
      <c r="D502" s="67"/>
      <c r="E502" s="67"/>
      <c r="F502" s="67"/>
      <c r="G502" s="67"/>
      <c r="H502" s="67"/>
      <c r="I502" s="67"/>
      <c r="J502" s="67"/>
      <c r="K502" s="67"/>
      <c r="L502" s="67"/>
    </row>
    <row r="503" spans="2:12" x14ac:dyDescent="0.3">
      <c r="B503" s="67"/>
      <c r="C503" s="67"/>
      <c r="D503" s="67"/>
      <c r="E503" s="67"/>
      <c r="F503" s="67"/>
      <c r="G503" s="67"/>
      <c r="H503" s="67"/>
      <c r="I503" s="67"/>
      <c r="J503" s="67"/>
      <c r="K503" s="67"/>
      <c r="L503" s="67"/>
    </row>
    <row r="504" spans="2:12" x14ac:dyDescent="0.3">
      <c r="B504" s="67"/>
      <c r="C504" s="67"/>
      <c r="D504" s="67"/>
      <c r="E504" s="67"/>
      <c r="F504" s="67"/>
      <c r="G504" s="67"/>
      <c r="H504" s="67"/>
      <c r="I504" s="67"/>
      <c r="J504" s="67"/>
      <c r="K504" s="67"/>
      <c r="L504" s="67"/>
    </row>
    <row r="505" spans="2:12" x14ac:dyDescent="0.3">
      <c r="B505" s="67"/>
      <c r="C505" s="67"/>
      <c r="D505" s="67"/>
      <c r="E505" s="67"/>
      <c r="F505" s="67"/>
      <c r="G505" s="67"/>
      <c r="H505" s="67"/>
      <c r="I505" s="67"/>
      <c r="J505" s="67"/>
      <c r="K505" s="67"/>
      <c r="L505" s="67"/>
    </row>
    <row r="506" spans="2:12" x14ac:dyDescent="0.3">
      <c r="B506" s="67"/>
      <c r="C506" s="67"/>
      <c r="D506" s="67"/>
      <c r="E506" s="67"/>
      <c r="F506" s="67"/>
      <c r="G506" s="67"/>
      <c r="H506" s="67"/>
      <c r="I506" s="67"/>
      <c r="J506" s="67"/>
      <c r="K506" s="67"/>
      <c r="L506" s="67"/>
    </row>
    <row r="507" spans="2:12" x14ac:dyDescent="0.3">
      <c r="B507" s="67"/>
      <c r="C507" s="67"/>
      <c r="D507" s="67"/>
      <c r="E507" s="67"/>
      <c r="F507" s="67"/>
      <c r="G507" s="67"/>
      <c r="H507" s="67"/>
      <c r="I507" s="67"/>
      <c r="J507" s="67"/>
      <c r="K507" s="67"/>
      <c r="L507" s="67"/>
    </row>
    <row r="508" spans="2:12" x14ac:dyDescent="0.3">
      <c r="B508" s="67"/>
      <c r="C508" s="67"/>
      <c r="D508" s="67"/>
      <c r="E508" s="67"/>
      <c r="F508" s="67"/>
      <c r="G508" s="67"/>
      <c r="H508" s="67"/>
      <c r="I508" s="67"/>
      <c r="J508" s="67"/>
      <c r="K508" s="67"/>
      <c r="L508" s="67"/>
    </row>
    <row r="509" spans="2:12" x14ac:dyDescent="0.3">
      <c r="B509" s="67"/>
      <c r="C509" s="67"/>
      <c r="D509" s="67"/>
      <c r="E509" s="67"/>
      <c r="F509" s="67"/>
      <c r="G509" s="67"/>
      <c r="H509" s="67"/>
      <c r="I509" s="67"/>
      <c r="J509" s="67"/>
      <c r="K509" s="67"/>
      <c r="L509" s="67"/>
    </row>
    <row r="510" spans="2:12" x14ac:dyDescent="0.3">
      <c r="B510" s="67"/>
      <c r="C510" s="67"/>
      <c r="D510" s="67"/>
      <c r="E510" s="67"/>
      <c r="F510" s="67"/>
      <c r="G510" s="67"/>
      <c r="H510" s="67"/>
      <c r="I510" s="67"/>
      <c r="J510" s="67"/>
      <c r="K510" s="67"/>
      <c r="L510" s="67"/>
    </row>
    <row r="511" spans="2:12" x14ac:dyDescent="0.3">
      <c r="B511" s="67"/>
      <c r="C511" s="67"/>
      <c r="D511" s="67"/>
      <c r="E511" s="67"/>
      <c r="F511" s="67"/>
      <c r="G511" s="67"/>
      <c r="H511" s="67"/>
      <c r="I511" s="67"/>
      <c r="J511" s="67"/>
      <c r="K511" s="67"/>
      <c r="L511" s="67"/>
    </row>
    <row r="512" spans="2:12" x14ac:dyDescent="0.3">
      <c r="B512" s="67"/>
      <c r="C512" s="67"/>
      <c r="D512" s="67"/>
      <c r="E512" s="67"/>
      <c r="F512" s="67"/>
      <c r="G512" s="67"/>
      <c r="H512" s="67"/>
      <c r="I512" s="67"/>
      <c r="J512" s="67"/>
      <c r="K512" s="67"/>
      <c r="L512" s="67"/>
    </row>
    <row r="513" spans="2:12" x14ac:dyDescent="0.3">
      <c r="B513" s="67"/>
      <c r="C513" s="67"/>
      <c r="D513" s="67"/>
      <c r="E513" s="67"/>
      <c r="F513" s="67"/>
      <c r="G513" s="67"/>
      <c r="H513" s="67"/>
      <c r="I513" s="67"/>
      <c r="J513" s="67"/>
      <c r="K513" s="67"/>
      <c r="L513" s="67"/>
    </row>
    <row r="514" spans="2:12" x14ac:dyDescent="0.3">
      <c r="B514" s="67"/>
      <c r="C514" s="67"/>
      <c r="D514" s="67"/>
      <c r="E514" s="67"/>
      <c r="F514" s="67"/>
      <c r="G514" s="67"/>
      <c r="H514" s="67"/>
      <c r="I514" s="67"/>
      <c r="J514" s="67"/>
      <c r="K514" s="67"/>
      <c r="L514" s="67"/>
    </row>
    <row r="515" spans="2:12" x14ac:dyDescent="0.3">
      <c r="B515" s="67"/>
      <c r="C515" s="67"/>
      <c r="D515" s="67"/>
      <c r="E515" s="67"/>
      <c r="F515" s="67"/>
      <c r="G515" s="67"/>
      <c r="H515" s="67"/>
      <c r="I515" s="67"/>
      <c r="J515" s="67"/>
      <c r="K515" s="67"/>
      <c r="L515" s="67"/>
    </row>
    <row r="516" spans="2:12" x14ac:dyDescent="0.3">
      <c r="B516" s="67"/>
      <c r="C516" s="67"/>
      <c r="D516" s="67"/>
      <c r="E516" s="67"/>
      <c r="F516" s="67"/>
      <c r="G516" s="67"/>
      <c r="H516" s="67"/>
      <c r="I516" s="67"/>
      <c r="J516" s="67"/>
      <c r="K516" s="67"/>
      <c r="L516" s="67"/>
    </row>
    <row r="517" spans="2:12" x14ac:dyDescent="0.3">
      <c r="B517" s="67"/>
      <c r="C517" s="67"/>
      <c r="D517" s="67"/>
      <c r="E517" s="67"/>
      <c r="F517" s="67"/>
      <c r="G517" s="67"/>
      <c r="H517" s="67"/>
      <c r="I517" s="67"/>
      <c r="J517" s="67"/>
      <c r="K517" s="67"/>
      <c r="L517" s="67"/>
    </row>
    <row r="518" spans="2:12" x14ac:dyDescent="0.3">
      <c r="B518" s="67"/>
      <c r="C518" s="67"/>
      <c r="D518" s="67"/>
      <c r="E518" s="67"/>
      <c r="F518" s="67"/>
      <c r="G518" s="67"/>
      <c r="H518" s="67"/>
      <c r="I518" s="67"/>
      <c r="J518" s="67"/>
      <c r="K518" s="67"/>
      <c r="L518" s="67"/>
    </row>
    <row r="519" spans="2:12" x14ac:dyDescent="0.3">
      <c r="B519" s="67"/>
      <c r="C519" s="67"/>
      <c r="D519" s="67"/>
      <c r="E519" s="67"/>
      <c r="F519" s="67"/>
      <c r="G519" s="67"/>
      <c r="H519" s="67"/>
      <c r="I519" s="67"/>
      <c r="J519" s="67"/>
      <c r="K519" s="67"/>
      <c r="L519" s="67"/>
    </row>
    <row r="520" spans="2:12" x14ac:dyDescent="0.3">
      <c r="B520" s="67"/>
      <c r="C520" s="67"/>
      <c r="D520" s="67"/>
      <c r="E520" s="67"/>
      <c r="F520" s="67"/>
      <c r="G520" s="67"/>
      <c r="H520" s="67"/>
      <c r="I520" s="67"/>
      <c r="J520" s="67"/>
      <c r="K520" s="67"/>
      <c r="L520" s="67"/>
    </row>
    <row r="521" spans="2:12" x14ac:dyDescent="0.3">
      <c r="B521" s="67"/>
      <c r="C521" s="67"/>
      <c r="D521" s="67"/>
      <c r="E521" s="67"/>
      <c r="F521" s="67"/>
      <c r="G521" s="67"/>
      <c r="H521" s="67"/>
      <c r="I521" s="67"/>
      <c r="J521" s="67"/>
      <c r="K521" s="67"/>
      <c r="L521" s="67"/>
    </row>
    <row r="522" spans="2:12" x14ac:dyDescent="0.3">
      <c r="B522" s="67"/>
      <c r="C522" s="67"/>
      <c r="D522" s="67"/>
      <c r="E522" s="67"/>
      <c r="F522" s="67"/>
      <c r="G522" s="67"/>
      <c r="H522" s="67"/>
      <c r="I522" s="67"/>
      <c r="J522" s="67"/>
      <c r="K522" s="67"/>
      <c r="L522" s="67"/>
    </row>
    <row r="523" spans="2:12" x14ac:dyDescent="0.3">
      <c r="B523" s="67"/>
      <c r="C523" s="67"/>
      <c r="D523" s="67"/>
      <c r="E523" s="67"/>
      <c r="F523" s="67"/>
      <c r="G523" s="67"/>
      <c r="H523" s="67"/>
      <c r="I523" s="67"/>
      <c r="J523" s="67"/>
      <c r="K523" s="67"/>
      <c r="L523" s="67"/>
    </row>
    <row r="524" spans="2:12" x14ac:dyDescent="0.3">
      <c r="B524" s="67"/>
      <c r="C524" s="67"/>
      <c r="D524" s="67"/>
      <c r="E524" s="67"/>
      <c r="F524" s="67"/>
      <c r="G524" s="67"/>
      <c r="H524" s="67"/>
      <c r="I524" s="67"/>
      <c r="J524" s="67"/>
      <c r="K524" s="67"/>
      <c r="L524" s="67"/>
    </row>
    <row r="525" spans="2:12" x14ac:dyDescent="0.3">
      <c r="B525" s="67"/>
      <c r="C525" s="67"/>
      <c r="D525" s="67"/>
      <c r="E525" s="67"/>
      <c r="F525" s="67"/>
      <c r="G525" s="67"/>
      <c r="H525" s="67"/>
      <c r="I525" s="67"/>
      <c r="J525" s="67"/>
      <c r="K525" s="67"/>
      <c r="L525" s="67"/>
    </row>
    <row r="526" spans="2:12" x14ac:dyDescent="0.3">
      <c r="B526" s="67"/>
      <c r="C526" s="67"/>
      <c r="D526" s="67"/>
      <c r="E526" s="67"/>
      <c r="F526" s="67"/>
      <c r="G526" s="67"/>
      <c r="H526" s="67"/>
      <c r="I526" s="67"/>
      <c r="J526" s="67"/>
      <c r="K526" s="67"/>
      <c r="L526" s="67"/>
    </row>
    <row r="527" spans="2:12" x14ac:dyDescent="0.3">
      <c r="B527" s="67"/>
      <c r="C527" s="67"/>
      <c r="D527" s="67"/>
      <c r="E527" s="67"/>
      <c r="F527" s="67"/>
      <c r="G527" s="67"/>
      <c r="H527" s="67"/>
      <c r="I527" s="67"/>
      <c r="J527" s="67"/>
      <c r="K527" s="67"/>
      <c r="L527" s="67"/>
    </row>
    <row r="528" spans="2:12" x14ac:dyDescent="0.3">
      <c r="B528" s="67"/>
      <c r="C528" s="67"/>
      <c r="D528" s="67"/>
      <c r="E528" s="67"/>
      <c r="F528" s="67"/>
      <c r="G528" s="67"/>
      <c r="H528" s="67"/>
      <c r="I528" s="67"/>
      <c r="J528" s="67"/>
      <c r="K528" s="67"/>
      <c r="L528" s="67"/>
    </row>
    <row r="529" spans="2:12" x14ac:dyDescent="0.3">
      <c r="B529" s="67"/>
      <c r="C529" s="67"/>
      <c r="D529" s="67"/>
      <c r="E529" s="67"/>
      <c r="F529" s="67"/>
      <c r="G529" s="67"/>
      <c r="H529" s="67"/>
      <c r="I529" s="67"/>
      <c r="J529" s="67"/>
      <c r="K529" s="67"/>
      <c r="L529" s="67"/>
    </row>
    <row r="530" spans="2:12" x14ac:dyDescent="0.3">
      <c r="B530" s="67"/>
      <c r="C530" s="67"/>
      <c r="D530" s="67"/>
      <c r="E530" s="67"/>
      <c r="F530" s="67"/>
      <c r="G530" s="67"/>
      <c r="H530" s="67"/>
      <c r="I530" s="67"/>
      <c r="J530" s="67"/>
      <c r="K530" s="67"/>
      <c r="L530" s="67"/>
    </row>
    <row r="531" spans="2:12" x14ac:dyDescent="0.3">
      <c r="B531" s="67"/>
      <c r="C531" s="67"/>
      <c r="D531" s="67"/>
      <c r="E531" s="67"/>
      <c r="F531" s="67"/>
      <c r="G531" s="67"/>
      <c r="H531" s="67"/>
      <c r="I531" s="67"/>
      <c r="J531" s="67"/>
      <c r="K531" s="67"/>
      <c r="L531" s="67"/>
    </row>
    <row r="532" spans="2:12" x14ac:dyDescent="0.3">
      <c r="B532" s="67"/>
      <c r="C532" s="67"/>
      <c r="D532" s="67"/>
      <c r="E532" s="67"/>
      <c r="F532" s="67"/>
      <c r="G532" s="67"/>
      <c r="H532" s="67"/>
      <c r="I532" s="67"/>
      <c r="J532" s="67"/>
      <c r="K532" s="67"/>
      <c r="L532" s="67"/>
    </row>
    <row r="533" spans="2:12" x14ac:dyDescent="0.3">
      <c r="B533" s="67"/>
      <c r="C533" s="67"/>
      <c r="D533" s="67"/>
      <c r="E533" s="67"/>
      <c r="F533" s="67"/>
      <c r="G533" s="67"/>
      <c r="H533" s="67"/>
      <c r="I533" s="67"/>
      <c r="J533" s="67"/>
      <c r="K533" s="67"/>
      <c r="L533" s="67"/>
    </row>
    <row r="534" spans="2:12" x14ac:dyDescent="0.3">
      <c r="B534" s="67"/>
      <c r="C534" s="67"/>
      <c r="D534" s="67"/>
      <c r="E534" s="67"/>
      <c r="F534" s="67"/>
      <c r="G534" s="67"/>
      <c r="H534" s="67"/>
      <c r="I534" s="67"/>
      <c r="J534" s="67"/>
      <c r="K534" s="67"/>
      <c r="L534" s="67"/>
    </row>
    <row r="535" spans="2:12" x14ac:dyDescent="0.3">
      <c r="B535" s="67"/>
      <c r="C535" s="67"/>
      <c r="D535" s="67"/>
      <c r="E535" s="67"/>
      <c r="F535" s="67"/>
      <c r="G535" s="67"/>
      <c r="H535" s="67"/>
      <c r="I535" s="67"/>
      <c r="J535" s="67"/>
      <c r="K535" s="67"/>
      <c r="L535" s="67"/>
    </row>
    <row r="536" spans="2:12" x14ac:dyDescent="0.3">
      <c r="B536" s="67"/>
      <c r="C536" s="67"/>
      <c r="D536" s="67"/>
      <c r="E536" s="67"/>
      <c r="F536" s="67"/>
      <c r="G536" s="67"/>
      <c r="H536" s="67"/>
      <c r="I536" s="67"/>
      <c r="J536" s="67"/>
      <c r="K536" s="67"/>
      <c r="L536" s="67"/>
    </row>
    <row r="537" spans="2:12" x14ac:dyDescent="0.3">
      <c r="B537" s="67"/>
      <c r="C537" s="67"/>
      <c r="D537" s="67"/>
      <c r="E537" s="67"/>
      <c r="F537" s="67"/>
      <c r="G537" s="67"/>
      <c r="H537" s="67"/>
      <c r="I537" s="67"/>
      <c r="J537" s="67"/>
      <c r="K537" s="67"/>
      <c r="L537" s="67"/>
    </row>
    <row r="538" spans="2:12" x14ac:dyDescent="0.3">
      <c r="B538" s="67"/>
      <c r="C538" s="67"/>
      <c r="D538" s="67"/>
      <c r="E538" s="67"/>
      <c r="F538" s="67"/>
      <c r="G538" s="67"/>
      <c r="H538" s="67"/>
      <c r="I538" s="67"/>
      <c r="J538" s="67"/>
      <c r="K538" s="67"/>
      <c r="L538" s="67"/>
    </row>
    <row r="539" spans="2:12" x14ac:dyDescent="0.3">
      <c r="B539" s="67"/>
      <c r="C539" s="67"/>
      <c r="D539" s="67"/>
      <c r="E539" s="67"/>
      <c r="F539" s="67"/>
      <c r="G539" s="67"/>
      <c r="H539" s="67"/>
      <c r="I539" s="67"/>
      <c r="J539" s="67"/>
      <c r="K539" s="67"/>
      <c r="L539" s="67"/>
    </row>
    <row r="540" spans="2:12" x14ac:dyDescent="0.3">
      <c r="B540" s="67"/>
      <c r="C540" s="67"/>
      <c r="D540" s="67"/>
      <c r="E540" s="67"/>
      <c r="F540" s="67"/>
      <c r="G540" s="67"/>
      <c r="H540" s="67"/>
      <c r="I540" s="67"/>
      <c r="J540" s="67"/>
      <c r="K540" s="67"/>
      <c r="L540" s="67"/>
    </row>
    <row r="541" spans="2:12" x14ac:dyDescent="0.3">
      <c r="B541" s="67"/>
      <c r="C541" s="67"/>
      <c r="D541" s="67"/>
      <c r="E541" s="67"/>
      <c r="F541" s="67"/>
      <c r="G541" s="67"/>
      <c r="H541" s="67"/>
      <c r="I541" s="67"/>
      <c r="J541" s="67"/>
      <c r="K541" s="67"/>
      <c r="L541" s="67"/>
    </row>
    <row r="542" spans="2:12" x14ac:dyDescent="0.3">
      <c r="B542" s="67"/>
      <c r="C542" s="67"/>
      <c r="D542" s="67"/>
      <c r="E542" s="67"/>
      <c r="F542" s="67"/>
      <c r="G542" s="67"/>
      <c r="H542" s="67"/>
      <c r="I542" s="67"/>
      <c r="J542" s="67"/>
      <c r="K542" s="67"/>
      <c r="L542" s="67"/>
    </row>
    <row r="543" spans="2:12" x14ac:dyDescent="0.3">
      <c r="B543" s="67"/>
      <c r="C543" s="67"/>
      <c r="D543" s="67"/>
      <c r="E543" s="67"/>
      <c r="F543" s="67"/>
      <c r="G543" s="67"/>
      <c r="H543" s="67"/>
      <c r="I543" s="67"/>
      <c r="J543" s="67"/>
      <c r="K543" s="67"/>
      <c r="L543" s="67"/>
    </row>
    <row r="544" spans="2:12" x14ac:dyDescent="0.3">
      <c r="B544" s="67"/>
      <c r="C544" s="67"/>
      <c r="D544" s="67"/>
      <c r="E544" s="67"/>
      <c r="F544" s="67"/>
      <c r="G544" s="67"/>
      <c r="H544" s="67"/>
      <c r="I544" s="67"/>
      <c r="J544" s="67"/>
      <c r="K544" s="67"/>
      <c r="L544" s="67"/>
    </row>
    <row r="545" spans="2:12" x14ac:dyDescent="0.3">
      <c r="B545" s="67"/>
      <c r="C545" s="67"/>
      <c r="D545" s="67"/>
      <c r="E545" s="67"/>
      <c r="F545" s="67"/>
      <c r="G545" s="67"/>
      <c r="H545" s="67"/>
      <c r="I545" s="67"/>
      <c r="J545" s="67"/>
      <c r="K545" s="67"/>
      <c r="L545" s="67"/>
    </row>
    <row r="546" spans="2:12" x14ac:dyDescent="0.3">
      <c r="B546" s="67"/>
      <c r="C546" s="67"/>
      <c r="D546" s="67"/>
      <c r="E546" s="67"/>
      <c r="F546" s="67"/>
      <c r="G546" s="67"/>
      <c r="H546" s="67"/>
      <c r="I546" s="67"/>
      <c r="J546" s="67"/>
      <c r="K546" s="67"/>
      <c r="L546" s="67"/>
    </row>
    <row r="547" spans="2:12" x14ac:dyDescent="0.3">
      <c r="B547" s="67"/>
      <c r="C547" s="67"/>
      <c r="D547" s="67"/>
      <c r="E547" s="67"/>
      <c r="F547" s="67"/>
      <c r="G547" s="67"/>
      <c r="H547" s="67"/>
      <c r="I547" s="67"/>
      <c r="J547" s="67"/>
      <c r="K547" s="67"/>
      <c r="L547" s="67"/>
    </row>
    <row r="548" spans="2:12" x14ac:dyDescent="0.3">
      <c r="B548" s="67"/>
      <c r="C548" s="67"/>
      <c r="D548" s="67"/>
      <c r="E548" s="67"/>
      <c r="F548" s="67"/>
      <c r="G548" s="67"/>
      <c r="H548" s="67"/>
      <c r="I548" s="67"/>
      <c r="J548" s="67"/>
      <c r="K548" s="67"/>
      <c r="L548" s="67"/>
    </row>
    <row r="549" spans="2:12" x14ac:dyDescent="0.3">
      <c r="B549" s="67"/>
      <c r="C549" s="67"/>
      <c r="D549" s="67"/>
      <c r="E549" s="67"/>
      <c r="F549" s="67"/>
      <c r="G549" s="67"/>
      <c r="H549" s="67"/>
      <c r="I549" s="67"/>
      <c r="J549" s="67"/>
      <c r="K549" s="67"/>
      <c r="L549" s="67"/>
    </row>
    <row r="550" spans="2:12" x14ac:dyDescent="0.3">
      <c r="B550" s="67"/>
      <c r="C550" s="67"/>
      <c r="D550" s="67"/>
      <c r="E550" s="67"/>
      <c r="F550" s="67"/>
      <c r="G550" s="67"/>
      <c r="H550" s="67"/>
      <c r="I550" s="67"/>
      <c r="J550" s="67"/>
      <c r="K550" s="67"/>
      <c r="L550" s="67"/>
    </row>
    <row r="551" spans="2:12" x14ac:dyDescent="0.3">
      <c r="B551" s="67"/>
      <c r="C551" s="67"/>
      <c r="D551" s="67"/>
      <c r="E551" s="67"/>
      <c r="F551" s="67"/>
      <c r="G551" s="67"/>
      <c r="H551" s="67"/>
      <c r="I551" s="67"/>
      <c r="J551" s="67"/>
      <c r="K551" s="67"/>
      <c r="L551" s="67"/>
    </row>
    <row r="552" spans="2:12" x14ac:dyDescent="0.3">
      <c r="B552" s="67"/>
      <c r="C552" s="67"/>
      <c r="D552" s="67"/>
      <c r="E552" s="67"/>
      <c r="F552" s="67"/>
      <c r="G552" s="67"/>
      <c r="H552" s="67"/>
      <c r="I552" s="67"/>
      <c r="J552" s="67"/>
      <c r="K552" s="67"/>
      <c r="L552" s="67"/>
    </row>
    <row r="553" spans="2:12" x14ac:dyDescent="0.3">
      <c r="B553" s="67"/>
      <c r="C553" s="67"/>
      <c r="D553" s="67"/>
      <c r="E553" s="67"/>
      <c r="F553" s="67"/>
      <c r="G553" s="67"/>
      <c r="H553" s="67"/>
      <c r="I553" s="67"/>
      <c r="J553" s="67"/>
      <c r="K553" s="67"/>
      <c r="L553" s="67"/>
    </row>
    <row r="554" spans="2:12" x14ac:dyDescent="0.3">
      <c r="B554" s="67"/>
      <c r="C554" s="67"/>
      <c r="D554" s="67"/>
      <c r="E554" s="67"/>
      <c r="F554" s="67"/>
      <c r="G554" s="67"/>
      <c r="H554" s="67"/>
      <c r="I554" s="67"/>
      <c r="J554" s="67"/>
      <c r="K554" s="67"/>
      <c r="L554" s="67"/>
    </row>
    <row r="555" spans="2:12" x14ac:dyDescent="0.3">
      <c r="B555" s="67"/>
      <c r="C555" s="67"/>
      <c r="D555" s="67"/>
      <c r="E555" s="67"/>
      <c r="F555" s="67"/>
      <c r="G555" s="67"/>
      <c r="H555" s="67"/>
      <c r="I555" s="67"/>
      <c r="J555" s="67"/>
      <c r="K555" s="67"/>
      <c r="L555" s="67"/>
    </row>
    <row r="556" spans="2:12" x14ac:dyDescent="0.3">
      <c r="B556" s="67"/>
      <c r="C556" s="67"/>
      <c r="D556" s="67"/>
      <c r="E556" s="67"/>
      <c r="F556" s="67"/>
      <c r="G556" s="67"/>
      <c r="H556" s="67"/>
      <c r="I556" s="67"/>
      <c r="J556" s="67"/>
      <c r="K556" s="67"/>
      <c r="L556" s="67"/>
    </row>
    <row r="557" spans="2:12" x14ac:dyDescent="0.3">
      <c r="B557" s="67"/>
      <c r="C557" s="67"/>
      <c r="D557" s="67"/>
      <c r="E557" s="67"/>
      <c r="F557" s="67"/>
      <c r="G557" s="67"/>
      <c r="H557" s="67"/>
      <c r="I557" s="67"/>
      <c r="J557" s="67"/>
      <c r="K557" s="67"/>
      <c r="L557" s="67"/>
    </row>
    <row r="558" spans="2:12" x14ac:dyDescent="0.3">
      <c r="B558" s="67"/>
      <c r="C558" s="67"/>
      <c r="D558" s="67"/>
      <c r="E558" s="67"/>
      <c r="F558" s="67"/>
      <c r="G558" s="67"/>
      <c r="H558" s="67"/>
      <c r="I558" s="67"/>
      <c r="J558" s="67"/>
      <c r="K558" s="67"/>
      <c r="L558" s="67"/>
    </row>
    <row r="559" spans="2:12" x14ac:dyDescent="0.3">
      <c r="B559" s="67"/>
      <c r="C559" s="67"/>
      <c r="D559" s="67"/>
      <c r="E559" s="67"/>
      <c r="F559" s="67"/>
      <c r="G559" s="67"/>
      <c r="H559" s="67"/>
      <c r="I559" s="67"/>
      <c r="J559" s="67"/>
      <c r="K559" s="67"/>
      <c r="L559" s="67"/>
    </row>
    <row r="560" spans="2:12" x14ac:dyDescent="0.3">
      <c r="B560" s="67"/>
      <c r="C560" s="67"/>
      <c r="D560" s="67"/>
      <c r="E560" s="67"/>
      <c r="F560" s="67"/>
      <c r="G560" s="67"/>
      <c r="H560" s="67"/>
      <c r="I560" s="67"/>
      <c r="J560" s="67"/>
      <c r="K560" s="67"/>
      <c r="L560" s="67"/>
    </row>
    <row r="561" spans="2:12" x14ac:dyDescent="0.3">
      <c r="B561" s="67"/>
      <c r="C561" s="67"/>
      <c r="D561" s="67"/>
      <c r="E561" s="67"/>
      <c r="F561" s="67"/>
      <c r="G561" s="67"/>
      <c r="H561" s="67"/>
      <c r="I561" s="67"/>
      <c r="J561" s="67"/>
      <c r="K561" s="67"/>
      <c r="L561" s="67"/>
    </row>
    <row r="562" spans="2:12" x14ac:dyDescent="0.3">
      <c r="B562" s="67"/>
      <c r="C562" s="67"/>
      <c r="D562" s="67"/>
      <c r="E562" s="67"/>
      <c r="F562" s="67"/>
      <c r="G562" s="67"/>
      <c r="H562" s="67"/>
      <c r="I562" s="67"/>
      <c r="J562" s="67"/>
      <c r="K562" s="67"/>
      <c r="L562" s="67"/>
    </row>
    <row r="563" spans="2:12" x14ac:dyDescent="0.3">
      <c r="B563" s="67"/>
      <c r="C563" s="67"/>
      <c r="D563" s="67"/>
      <c r="E563" s="67"/>
      <c r="F563" s="67"/>
      <c r="G563" s="67"/>
      <c r="H563" s="67"/>
      <c r="I563" s="67"/>
      <c r="J563" s="67"/>
      <c r="K563" s="67"/>
      <c r="L563" s="67"/>
    </row>
    <row r="564" spans="2:12" x14ac:dyDescent="0.3">
      <c r="B564" s="67"/>
      <c r="C564" s="67"/>
      <c r="D564" s="67"/>
      <c r="E564" s="67"/>
      <c r="F564" s="67"/>
      <c r="G564" s="67"/>
      <c r="H564" s="67"/>
      <c r="I564" s="67"/>
      <c r="J564" s="67"/>
      <c r="K564" s="67"/>
      <c r="L564" s="67"/>
    </row>
    <row r="565" spans="2:12" x14ac:dyDescent="0.3">
      <c r="B565" s="67"/>
      <c r="C565" s="67"/>
      <c r="D565" s="67"/>
      <c r="E565" s="67"/>
      <c r="F565" s="67"/>
      <c r="G565" s="67"/>
      <c r="H565" s="67"/>
      <c r="I565" s="67"/>
      <c r="J565" s="67"/>
      <c r="K565" s="67"/>
      <c r="L565" s="67"/>
    </row>
    <row r="566" spans="2:12" x14ac:dyDescent="0.3">
      <c r="B566" s="67"/>
      <c r="C566" s="67"/>
      <c r="D566" s="67"/>
      <c r="E566" s="67"/>
      <c r="F566" s="67"/>
      <c r="G566" s="67"/>
      <c r="H566" s="67"/>
      <c r="I566" s="67"/>
      <c r="J566" s="67"/>
      <c r="K566" s="67"/>
      <c r="L566" s="67"/>
    </row>
    <row r="567" spans="2:12" x14ac:dyDescent="0.3">
      <c r="B567" s="67"/>
      <c r="C567" s="67"/>
      <c r="D567" s="67"/>
      <c r="E567" s="67"/>
      <c r="F567" s="67"/>
      <c r="G567" s="67"/>
      <c r="H567" s="67"/>
      <c r="I567" s="67"/>
      <c r="J567" s="67"/>
      <c r="K567" s="67"/>
      <c r="L567" s="67"/>
    </row>
    <row r="568" spans="2:12" x14ac:dyDescent="0.3">
      <c r="B568" s="67"/>
      <c r="C568" s="67"/>
      <c r="D568" s="67"/>
      <c r="E568" s="67"/>
      <c r="F568" s="67"/>
      <c r="G568" s="67"/>
      <c r="H568" s="67"/>
      <c r="I568" s="67"/>
      <c r="J568" s="67"/>
      <c r="K568" s="67"/>
      <c r="L568" s="67"/>
    </row>
    <row r="569" spans="2:12" x14ac:dyDescent="0.3">
      <c r="B569" s="67"/>
      <c r="C569" s="67"/>
      <c r="D569" s="67"/>
      <c r="E569" s="67"/>
      <c r="F569" s="67"/>
      <c r="G569" s="67"/>
      <c r="H569" s="67"/>
      <c r="I569" s="67"/>
      <c r="J569" s="67"/>
      <c r="K569" s="67"/>
      <c r="L569" s="67"/>
    </row>
    <row r="570" spans="2:12" x14ac:dyDescent="0.3">
      <c r="B570" s="67"/>
      <c r="C570" s="67"/>
      <c r="D570" s="67"/>
      <c r="E570" s="67"/>
      <c r="F570" s="67"/>
      <c r="G570" s="67"/>
      <c r="H570" s="67"/>
      <c r="I570" s="67"/>
      <c r="J570" s="67"/>
      <c r="K570" s="67"/>
      <c r="L570" s="67"/>
    </row>
    <row r="571" spans="2:12" x14ac:dyDescent="0.3">
      <c r="B571" s="67"/>
      <c r="C571" s="67"/>
      <c r="D571" s="67"/>
      <c r="E571" s="67"/>
      <c r="F571" s="67"/>
      <c r="G571" s="67"/>
      <c r="H571" s="67"/>
      <c r="I571" s="67"/>
      <c r="J571" s="67"/>
      <c r="K571" s="67"/>
      <c r="L571" s="67"/>
    </row>
    <row r="572" spans="2:12" x14ac:dyDescent="0.3">
      <c r="B572" s="67"/>
      <c r="C572" s="67"/>
      <c r="D572" s="67"/>
      <c r="E572" s="67"/>
      <c r="F572" s="67"/>
      <c r="G572" s="67"/>
      <c r="H572" s="67"/>
      <c r="I572" s="67"/>
      <c r="J572" s="67"/>
      <c r="K572" s="67"/>
      <c r="L572" s="67"/>
    </row>
    <row r="573" spans="2:12" x14ac:dyDescent="0.3">
      <c r="B573" s="67"/>
      <c r="C573" s="67"/>
      <c r="D573" s="67"/>
      <c r="E573" s="67"/>
      <c r="F573" s="67"/>
      <c r="G573" s="67"/>
      <c r="H573" s="67"/>
      <c r="I573" s="67"/>
      <c r="J573" s="67"/>
      <c r="K573" s="67"/>
      <c r="L573" s="67"/>
    </row>
    <row r="574" spans="2:12" x14ac:dyDescent="0.3">
      <c r="B574" s="67"/>
      <c r="C574" s="67"/>
      <c r="D574" s="67"/>
      <c r="E574" s="67"/>
      <c r="F574" s="67"/>
      <c r="G574" s="67"/>
      <c r="H574" s="67"/>
      <c r="I574" s="67"/>
      <c r="J574" s="67"/>
      <c r="K574" s="67"/>
      <c r="L574" s="67"/>
    </row>
    <row r="575" spans="2:12" x14ac:dyDescent="0.3">
      <c r="B575" s="67"/>
      <c r="C575" s="67"/>
      <c r="D575" s="67"/>
      <c r="E575" s="67"/>
      <c r="F575" s="67"/>
      <c r="G575" s="67"/>
      <c r="H575" s="67"/>
      <c r="I575" s="67"/>
      <c r="J575" s="67"/>
      <c r="K575" s="67"/>
      <c r="L575" s="67"/>
    </row>
    <row r="576" spans="2:12" x14ac:dyDescent="0.3">
      <c r="B576" s="67"/>
      <c r="C576" s="67"/>
      <c r="D576" s="67"/>
      <c r="E576" s="67"/>
      <c r="F576" s="67"/>
      <c r="G576" s="67"/>
      <c r="H576" s="67"/>
      <c r="I576" s="67"/>
      <c r="J576" s="67"/>
      <c r="K576" s="67"/>
      <c r="L576" s="67"/>
    </row>
    <row r="577" spans="2:12" x14ac:dyDescent="0.3">
      <c r="B577" s="67"/>
      <c r="C577" s="67"/>
      <c r="D577" s="67"/>
      <c r="E577" s="67"/>
      <c r="F577" s="67"/>
      <c r="G577" s="67"/>
      <c r="H577" s="67"/>
      <c r="I577" s="67"/>
      <c r="J577" s="67"/>
      <c r="K577" s="67"/>
      <c r="L577" s="67"/>
    </row>
    <row r="578" spans="2:12" x14ac:dyDescent="0.3">
      <c r="B578" s="103"/>
      <c r="C578" s="103"/>
      <c r="D578" s="103"/>
      <c r="E578" s="103"/>
      <c r="F578" s="103"/>
      <c r="G578" s="103"/>
      <c r="H578" s="103"/>
      <c r="I578" s="103"/>
    </row>
    <row r="579" spans="2:12" x14ac:dyDescent="0.3">
      <c r="B579" s="103"/>
      <c r="C579" s="103"/>
      <c r="D579" s="103"/>
      <c r="E579" s="103"/>
      <c r="F579" s="103"/>
      <c r="G579" s="103"/>
      <c r="H579" s="103"/>
      <c r="I579" s="103"/>
    </row>
    <row r="580" spans="2:12" x14ac:dyDescent="0.3">
      <c r="B580" s="103"/>
      <c r="C580" s="103"/>
      <c r="D580" s="103"/>
      <c r="E580" s="103"/>
      <c r="F580" s="103"/>
      <c r="G580" s="103"/>
      <c r="H580" s="103"/>
      <c r="I580" s="103"/>
    </row>
    <row r="581" spans="2:12" x14ac:dyDescent="0.3">
      <c r="B581" s="103"/>
      <c r="C581" s="103"/>
      <c r="D581" s="103"/>
      <c r="E581" s="103"/>
      <c r="F581" s="103"/>
      <c r="G581" s="103"/>
      <c r="H581" s="103"/>
      <c r="I581" s="103"/>
    </row>
    <row r="582" spans="2:12" x14ac:dyDescent="0.3">
      <c r="B582" s="103"/>
      <c r="C582" s="103"/>
      <c r="D582" s="103"/>
      <c r="E582" s="103"/>
      <c r="F582" s="103"/>
      <c r="G582" s="103"/>
      <c r="H582" s="103"/>
      <c r="I582" s="103"/>
    </row>
    <row r="583" spans="2:12" x14ac:dyDescent="0.3">
      <c r="B583" s="103"/>
      <c r="C583" s="103"/>
      <c r="D583" s="103"/>
      <c r="E583" s="103"/>
      <c r="F583" s="103"/>
      <c r="G583" s="103"/>
      <c r="H583" s="103"/>
      <c r="I583" s="103"/>
    </row>
    <row r="584" spans="2:12" x14ac:dyDescent="0.3">
      <c r="B584" s="103"/>
      <c r="C584" s="103"/>
      <c r="D584" s="103"/>
      <c r="E584" s="103"/>
      <c r="F584" s="103"/>
      <c r="G584" s="103"/>
      <c r="H584" s="103"/>
      <c r="I584" s="103"/>
    </row>
    <row r="585" spans="2:12" x14ac:dyDescent="0.3">
      <c r="B585" s="103"/>
      <c r="C585" s="103"/>
      <c r="D585" s="103"/>
      <c r="E585" s="103"/>
      <c r="F585" s="103"/>
      <c r="G585" s="103"/>
      <c r="H585" s="103"/>
      <c r="I585" s="103"/>
    </row>
    <row r="586" spans="2:12" x14ac:dyDescent="0.3">
      <c r="B586" s="103"/>
      <c r="C586" s="103"/>
      <c r="D586" s="103"/>
      <c r="E586" s="103"/>
      <c r="F586" s="103"/>
      <c r="G586" s="103"/>
      <c r="H586" s="103"/>
      <c r="I586" s="103"/>
    </row>
    <row r="587" spans="2:12" x14ac:dyDescent="0.3">
      <c r="B587" s="103"/>
      <c r="C587" s="103"/>
      <c r="D587" s="103"/>
      <c r="E587" s="103"/>
      <c r="F587" s="103"/>
      <c r="G587" s="103"/>
      <c r="H587" s="103"/>
      <c r="I587" s="103"/>
    </row>
    <row r="588" spans="2:12" x14ac:dyDescent="0.3">
      <c r="B588" s="103"/>
      <c r="C588" s="103"/>
      <c r="D588" s="103"/>
      <c r="E588" s="103"/>
      <c r="F588" s="103"/>
      <c r="G588" s="103"/>
      <c r="H588" s="103"/>
      <c r="I588" s="103"/>
    </row>
    <row r="589" spans="2:12" x14ac:dyDescent="0.3">
      <c r="B589" s="103"/>
      <c r="C589" s="103"/>
      <c r="D589" s="103"/>
      <c r="E589" s="103"/>
      <c r="F589" s="103"/>
      <c r="G589" s="103"/>
      <c r="H589" s="103"/>
      <c r="I589" s="103"/>
    </row>
    <row r="590" spans="2:12" x14ac:dyDescent="0.3">
      <c r="B590" s="103"/>
      <c r="C590" s="103"/>
      <c r="D590" s="103"/>
      <c r="E590" s="103"/>
      <c r="F590" s="103"/>
      <c r="G590" s="103"/>
      <c r="H590" s="103"/>
      <c r="I590" s="103"/>
    </row>
    <row r="591" spans="2:12" x14ac:dyDescent="0.3">
      <c r="B591" s="103"/>
      <c r="C591" s="103"/>
      <c r="D591" s="103"/>
      <c r="E591" s="103"/>
      <c r="F591" s="103"/>
      <c r="G591" s="103"/>
      <c r="H591" s="103"/>
      <c r="I591" s="103"/>
    </row>
    <row r="592" spans="2:12" x14ac:dyDescent="0.3">
      <c r="B592" s="103"/>
      <c r="C592" s="103"/>
      <c r="D592" s="103"/>
      <c r="E592" s="103"/>
      <c r="F592" s="103"/>
      <c r="G592" s="103"/>
      <c r="H592" s="103"/>
      <c r="I592" s="103"/>
    </row>
    <row r="593" spans="2:9" x14ac:dyDescent="0.3">
      <c r="B593" s="103"/>
      <c r="C593" s="103"/>
      <c r="D593" s="103"/>
      <c r="E593" s="103"/>
      <c r="F593" s="103"/>
      <c r="G593" s="103"/>
      <c r="H593" s="103"/>
      <c r="I593" s="103"/>
    </row>
    <row r="594" spans="2:9" x14ac:dyDescent="0.3">
      <c r="B594" s="103"/>
      <c r="C594" s="103"/>
      <c r="D594" s="103"/>
      <c r="E594" s="103"/>
      <c r="F594" s="103"/>
      <c r="G594" s="103"/>
      <c r="H594" s="103"/>
      <c r="I594" s="103"/>
    </row>
    <row r="595" spans="2:9" x14ac:dyDescent="0.3">
      <c r="B595" s="103"/>
      <c r="C595" s="103"/>
      <c r="D595" s="103"/>
      <c r="E595" s="103"/>
      <c r="F595" s="103"/>
      <c r="G595" s="103"/>
      <c r="H595" s="103"/>
      <c r="I595" s="103"/>
    </row>
    <row r="596" spans="2:9" x14ac:dyDescent="0.3">
      <c r="B596" s="103"/>
      <c r="C596" s="103"/>
      <c r="D596" s="103"/>
      <c r="E596" s="103"/>
      <c r="F596" s="103"/>
      <c r="G596" s="103"/>
      <c r="H596" s="103"/>
      <c r="I596" s="103"/>
    </row>
    <row r="597" spans="2:9" x14ac:dyDescent="0.3">
      <c r="B597" s="103"/>
      <c r="C597" s="103"/>
      <c r="D597" s="103"/>
      <c r="E597" s="103"/>
      <c r="F597" s="103"/>
      <c r="G597" s="103"/>
      <c r="H597" s="103"/>
      <c r="I597" s="103"/>
    </row>
    <row r="598" spans="2:9" x14ac:dyDescent="0.3">
      <c r="B598" s="103"/>
      <c r="C598" s="103"/>
      <c r="D598" s="103"/>
      <c r="E598" s="103"/>
      <c r="F598" s="103"/>
      <c r="G598" s="103"/>
      <c r="H598" s="103"/>
      <c r="I598" s="103"/>
    </row>
    <row r="599" spans="2:9" x14ac:dyDescent="0.3">
      <c r="B599" s="103"/>
      <c r="C599" s="103"/>
      <c r="D599" s="103"/>
      <c r="E599" s="103"/>
      <c r="F599" s="103"/>
      <c r="G599" s="103"/>
      <c r="H599" s="103"/>
      <c r="I599" s="103"/>
    </row>
    <row r="600" spans="2:9" x14ac:dyDescent="0.3">
      <c r="B600" s="103"/>
      <c r="C600" s="103"/>
      <c r="D600" s="103"/>
      <c r="E600" s="103"/>
      <c r="F600" s="103"/>
      <c r="G600" s="103"/>
      <c r="H600" s="103"/>
      <c r="I600" s="103"/>
    </row>
    <row r="601" spans="2:9" x14ac:dyDescent="0.3">
      <c r="B601" s="103"/>
      <c r="C601" s="103"/>
      <c r="D601" s="103"/>
      <c r="E601" s="103"/>
      <c r="F601" s="103"/>
      <c r="G601" s="103"/>
      <c r="H601" s="103"/>
      <c r="I601" s="103"/>
    </row>
    <row r="602" spans="2:9" x14ac:dyDescent="0.3">
      <c r="B602" s="103"/>
      <c r="C602" s="103"/>
      <c r="D602" s="103"/>
      <c r="E602" s="103"/>
      <c r="F602" s="103"/>
      <c r="G602" s="103"/>
      <c r="H602" s="103"/>
      <c r="I602" s="103"/>
    </row>
    <row r="603" spans="2:9" x14ac:dyDescent="0.3">
      <c r="B603" s="103"/>
      <c r="C603" s="103"/>
      <c r="D603" s="103"/>
      <c r="E603" s="103"/>
      <c r="F603" s="103"/>
      <c r="G603" s="103"/>
      <c r="H603" s="103"/>
      <c r="I603" s="103"/>
    </row>
    <row r="604" spans="2:9" x14ac:dyDescent="0.3">
      <c r="B604" s="103"/>
      <c r="C604" s="103"/>
      <c r="D604" s="103"/>
      <c r="E604" s="103"/>
      <c r="F604" s="103"/>
      <c r="G604" s="103"/>
      <c r="H604" s="103"/>
      <c r="I604" s="103"/>
    </row>
    <row r="605" spans="2:9" x14ac:dyDescent="0.3">
      <c r="B605" s="103"/>
      <c r="C605" s="103"/>
      <c r="D605" s="103"/>
      <c r="E605" s="103"/>
      <c r="F605" s="103"/>
      <c r="G605" s="103"/>
      <c r="H605" s="103"/>
      <c r="I605" s="103"/>
    </row>
    <row r="606" spans="2:9" x14ac:dyDescent="0.3">
      <c r="B606" s="103"/>
      <c r="C606" s="103"/>
      <c r="D606" s="103"/>
      <c r="E606" s="103"/>
      <c r="F606" s="103"/>
      <c r="G606" s="103"/>
      <c r="H606" s="103"/>
      <c r="I606" s="103"/>
    </row>
    <row r="607" spans="2:9" x14ac:dyDescent="0.3">
      <c r="B607" s="103"/>
      <c r="C607" s="103"/>
      <c r="D607" s="103"/>
      <c r="E607" s="103"/>
      <c r="F607" s="103"/>
      <c r="G607" s="103"/>
      <c r="H607" s="103"/>
      <c r="I607" s="103"/>
    </row>
    <row r="608" spans="2:9" x14ac:dyDescent="0.3">
      <c r="B608" s="103"/>
      <c r="C608" s="103"/>
      <c r="D608" s="103"/>
      <c r="E608" s="103"/>
      <c r="F608" s="103"/>
      <c r="G608" s="103"/>
      <c r="H608" s="103"/>
      <c r="I608" s="103"/>
    </row>
    <row r="609" spans="2:9" x14ac:dyDescent="0.3">
      <c r="B609" s="103"/>
      <c r="C609" s="103"/>
      <c r="D609" s="103"/>
      <c r="E609" s="103"/>
      <c r="F609" s="103"/>
      <c r="G609" s="103"/>
      <c r="H609" s="103"/>
      <c r="I609" s="103"/>
    </row>
    <row r="610" spans="2:9" x14ac:dyDescent="0.3">
      <c r="B610" s="103"/>
      <c r="C610" s="103"/>
      <c r="D610" s="103"/>
      <c r="E610" s="103"/>
      <c r="F610" s="103"/>
      <c r="G610" s="103"/>
      <c r="H610" s="103"/>
      <c r="I610" s="103"/>
    </row>
    <row r="611" spans="2:9" x14ac:dyDescent="0.3">
      <c r="B611" s="103"/>
      <c r="C611" s="103"/>
      <c r="D611" s="103"/>
      <c r="E611" s="103"/>
      <c r="F611" s="103"/>
      <c r="G611" s="103"/>
      <c r="H611" s="103"/>
      <c r="I611" s="103"/>
    </row>
    <row r="612" spans="2:9" x14ac:dyDescent="0.3">
      <c r="B612" s="103"/>
      <c r="C612" s="103"/>
      <c r="D612" s="103"/>
      <c r="E612" s="103"/>
      <c r="F612" s="103"/>
      <c r="G612" s="103"/>
      <c r="H612" s="103"/>
      <c r="I612" s="103"/>
    </row>
    <row r="613" spans="2:9" x14ac:dyDescent="0.3">
      <c r="B613" s="103"/>
      <c r="C613" s="103"/>
      <c r="D613" s="103"/>
      <c r="E613" s="103"/>
      <c r="F613" s="103"/>
      <c r="G613" s="103"/>
      <c r="H613" s="103"/>
      <c r="I613" s="103"/>
    </row>
    <row r="614" spans="2:9" x14ac:dyDescent="0.3">
      <c r="B614" s="103"/>
      <c r="C614" s="103"/>
      <c r="D614" s="103"/>
      <c r="E614" s="103"/>
      <c r="F614" s="103"/>
      <c r="G614" s="103"/>
      <c r="H614" s="103"/>
      <c r="I614" s="103"/>
    </row>
    <row r="615" spans="2:9" x14ac:dyDescent="0.3">
      <c r="B615" s="103"/>
      <c r="C615" s="103"/>
      <c r="D615" s="103"/>
      <c r="E615" s="103"/>
      <c r="F615" s="103"/>
      <c r="G615" s="103"/>
      <c r="H615" s="103"/>
      <c r="I615" s="103"/>
    </row>
    <row r="616" spans="2:9" x14ac:dyDescent="0.3">
      <c r="B616" s="103"/>
      <c r="C616" s="103"/>
      <c r="D616" s="103"/>
      <c r="E616" s="103"/>
      <c r="F616" s="103"/>
      <c r="G616" s="103"/>
      <c r="H616" s="103"/>
      <c r="I616" s="103"/>
    </row>
    <row r="617" spans="2:9" x14ac:dyDescent="0.3">
      <c r="B617" s="103"/>
      <c r="C617" s="103"/>
      <c r="D617" s="103"/>
      <c r="E617" s="103"/>
      <c r="F617" s="103"/>
      <c r="G617" s="103"/>
      <c r="H617" s="103"/>
      <c r="I617" s="103"/>
    </row>
    <row r="618" spans="2:9" x14ac:dyDescent="0.3">
      <c r="B618" s="103"/>
      <c r="C618" s="103"/>
      <c r="D618" s="103"/>
      <c r="E618" s="103"/>
      <c r="F618" s="103"/>
      <c r="G618" s="103"/>
      <c r="H618" s="103"/>
      <c r="I618" s="103"/>
    </row>
    <row r="619" spans="2:9" x14ac:dyDescent="0.3">
      <c r="B619" s="103"/>
      <c r="C619" s="103"/>
      <c r="D619" s="103"/>
      <c r="E619" s="103"/>
      <c r="F619" s="103"/>
      <c r="G619" s="103"/>
      <c r="H619" s="103"/>
      <c r="I619" s="103"/>
    </row>
    <row r="620" spans="2:9" x14ac:dyDescent="0.3">
      <c r="B620" s="103"/>
      <c r="C620" s="103"/>
      <c r="D620" s="103"/>
      <c r="E620" s="103"/>
      <c r="F620" s="103"/>
      <c r="G620" s="103"/>
      <c r="H620" s="103"/>
      <c r="I620" s="103"/>
    </row>
    <row r="621" spans="2:9" x14ac:dyDescent="0.3">
      <c r="B621" s="103"/>
      <c r="C621" s="103"/>
      <c r="D621" s="103"/>
      <c r="E621" s="103"/>
      <c r="F621" s="103"/>
      <c r="G621" s="103"/>
      <c r="H621" s="103"/>
      <c r="I621" s="103"/>
    </row>
    <row r="622" spans="2:9" x14ac:dyDescent="0.3">
      <c r="B622" s="103"/>
      <c r="C622" s="103"/>
      <c r="D622" s="103"/>
      <c r="E622" s="103"/>
      <c r="F622" s="103"/>
      <c r="G622" s="103"/>
      <c r="H622" s="103"/>
      <c r="I622" s="103"/>
    </row>
    <row r="623" spans="2:9" x14ac:dyDescent="0.3">
      <c r="B623" s="103"/>
      <c r="C623" s="103"/>
      <c r="D623" s="103"/>
      <c r="E623" s="103"/>
      <c r="F623" s="103"/>
      <c r="G623" s="103"/>
      <c r="H623" s="103"/>
      <c r="I623" s="103"/>
    </row>
    <row r="624" spans="2:9" x14ac:dyDescent="0.3">
      <c r="B624" s="103"/>
      <c r="C624" s="103"/>
      <c r="D624" s="103"/>
      <c r="E624" s="103"/>
      <c r="F624" s="103"/>
      <c r="G624" s="103"/>
      <c r="H624" s="103"/>
      <c r="I624" s="103"/>
    </row>
    <row r="625" spans="2:9" x14ac:dyDescent="0.3">
      <c r="B625" s="103"/>
      <c r="C625" s="103"/>
      <c r="D625" s="103"/>
      <c r="E625" s="103"/>
      <c r="F625" s="103"/>
      <c r="G625" s="103"/>
      <c r="H625" s="103"/>
      <c r="I625" s="103"/>
    </row>
    <row r="626" spans="2:9" x14ac:dyDescent="0.3">
      <c r="B626" s="103"/>
      <c r="C626" s="103"/>
      <c r="D626" s="103"/>
      <c r="E626" s="103"/>
      <c r="F626" s="103"/>
      <c r="G626" s="103"/>
      <c r="H626" s="103"/>
      <c r="I626" s="103"/>
    </row>
    <row r="627" spans="2:9" x14ac:dyDescent="0.3">
      <c r="B627" s="103"/>
      <c r="C627" s="103"/>
      <c r="D627" s="103"/>
      <c r="E627" s="103"/>
      <c r="F627" s="103"/>
      <c r="G627" s="103"/>
      <c r="H627" s="103"/>
      <c r="I627" s="103"/>
    </row>
    <row r="628" spans="2:9" x14ac:dyDescent="0.3">
      <c r="B628" s="103"/>
      <c r="C628" s="103"/>
      <c r="D628" s="103"/>
      <c r="E628" s="103"/>
      <c r="F628" s="103"/>
      <c r="G628" s="103"/>
      <c r="H628" s="103"/>
      <c r="I628" s="103"/>
    </row>
    <row r="629" spans="2:9" x14ac:dyDescent="0.3">
      <c r="B629" s="103"/>
      <c r="C629" s="103"/>
      <c r="D629" s="103"/>
      <c r="E629" s="103"/>
      <c r="F629" s="103"/>
      <c r="G629" s="103"/>
      <c r="H629" s="103"/>
      <c r="I629" s="103"/>
    </row>
    <row r="630" spans="2:9" x14ac:dyDescent="0.3">
      <c r="B630" s="103"/>
      <c r="C630" s="103"/>
      <c r="D630" s="103"/>
      <c r="E630" s="103"/>
      <c r="F630" s="103"/>
      <c r="G630" s="103"/>
      <c r="H630" s="103"/>
      <c r="I630" s="103"/>
    </row>
    <row r="631" spans="2:9" x14ac:dyDescent="0.3">
      <c r="B631" s="103"/>
      <c r="C631" s="103"/>
      <c r="D631" s="103"/>
      <c r="E631" s="103"/>
      <c r="F631" s="103"/>
      <c r="G631" s="103"/>
      <c r="H631" s="103"/>
      <c r="I631" s="103"/>
    </row>
    <row r="632" spans="2:9" x14ac:dyDescent="0.3">
      <c r="B632" s="103"/>
      <c r="C632" s="103"/>
      <c r="D632" s="103"/>
      <c r="E632" s="103"/>
      <c r="F632" s="103"/>
      <c r="G632" s="103"/>
      <c r="H632" s="103"/>
      <c r="I632" s="103"/>
    </row>
    <row r="633" spans="2:9" x14ac:dyDescent="0.3">
      <c r="B633" s="103"/>
      <c r="C633" s="103"/>
      <c r="D633" s="103"/>
      <c r="E633" s="103"/>
      <c r="F633" s="103"/>
      <c r="G633" s="103"/>
      <c r="H633" s="103"/>
      <c r="I633" s="103"/>
    </row>
    <row r="634" spans="2:9" x14ac:dyDescent="0.3">
      <c r="B634" s="103"/>
      <c r="C634" s="103"/>
      <c r="D634" s="103"/>
      <c r="E634" s="103"/>
      <c r="F634" s="103"/>
      <c r="G634" s="103"/>
      <c r="H634" s="103"/>
      <c r="I634" s="103"/>
    </row>
    <row r="635" spans="2:9" x14ac:dyDescent="0.3">
      <c r="B635" s="103"/>
      <c r="C635" s="103"/>
      <c r="D635" s="103"/>
      <c r="E635" s="103"/>
      <c r="F635" s="103"/>
      <c r="G635" s="103"/>
      <c r="H635" s="103"/>
      <c r="I635" s="103"/>
    </row>
    <row r="636" spans="2:9" x14ac:dyDescent="0.3">
      <c r="B636" s="103"/>
      <c r="C636" s="103"/>
      <c r="D636" s="103"/>
      <c r="E636" s="103"/>
      <c r="F636" s="103"/>
      <c r="G636" s="103"/>
      <c r="H636" s="103"/>
      <c r="I636" s="103"/>
    </row>
    <row r="637" spans="2:9" x14ac:dyDescent="0.3">
      <c r="B637" s="103"/>
      <c r="C637" s="103"/>
      <c r="D637" s="103"/>
      <c r="E637" s="103"/>
      <c r="F637" s="103"/>
      <c r="G637" s="103"/>
      <c r="H637" s="103"/>
      <c r="I637" s="103"/>
    </row>
    <row r="638" spans="2:9" x14ac:dyDescent="0.3">
      <c r="B638" s="103"/>
      <c r="C638" s="103"/>
      <c r="D638" s="103"/>
      <c r="E638" s="103"/>
      <c r="F638" s="103"/>
      <c r="G638" s="103"/>
      <c r="H638" s="103"/>
      <c r="I638" s="103"/>
    </row>
    <row r="639" spans="2:9" x14ac:dyDescent="0.3">
      <c r="B639" s="103"/>
      <c r="C639" s="103"/>
      <c r="D639" s="103"/>
      <c r="E639" s="103"/>
      <c r="F639" s="103"/>
      <c r="G639" s="103"/>
      <c r="H639" s="103"/>
      <c r="I639" s="103"/>
    </row>
    <row r="640" spans="2:9" x14ac:dyDescent="0.3">
      <c r="B640" s="103"/>
      <c r="C640" s="103"/>
      <c r="D640" s="103"/>
      <c r="E640" s="103"/>
      <c r="F640" s="103"/>
      <c r="G640" s="103"/>
      <c r="H640" s="103"/>
      <c r="I640" s="103"/>
    </row>
    <row r="641" spans="2:9" x14ac:dyDescent="0.3">
      <c r="B641" s="103"/>
      <c r="C641" s="103"/>
      <c r="D641" s="103"/>
      <c r="E641" s="103"/>
      <c r="F641" s="103"/>
      <c r="G641" s="103"/>
      <c r="H641" s="103"/>
      <c r="I641" s="103"/>
    </row>
    <row r="642" spans="2:9" x14ac:dyDescent="0.3">
      <c r="B642" s="103"/>
      <c r="C642" s="103"/>
      <c r="D642" s="103"/>
      <c r="E642" s="103"/>
      <c r="F642" s="103"/>
      <c r="G642" s="103"/>
      <c r="H642" s="103"/>
      <c r="I642" s="103"/>
    </row>
    <row r="643" spans="2:9" x14ac:dyDescent="0.3">
      <c r="B643" s="103"/>
      <c r="C643" s="103"/>
      <c r="D643" s="103"/>
      <c r="E643" s="103"/>
      <c r="F643" s="103"/>
      <c r="G643" s="103"/>
      <c r="H643" s="103"/>
      <c r="I643" s="103"/>
    </row>
    <row r="644" spans="2:9" x14ac:dyDescent="0.3">
      <c r="B644" s="103"/>
      <c r="C644" s="103"/>
      <c r="D644" s="103"/>
      <c r="E644" s="103"/>
      <c r="F644" s="103"/>
      <c r="G644" s="103"/>
      <c r="H644" s="103"/>
      <c r="I644" s="103"/>
    </row>
    <row r="645" spans="2:9" x14ac:dyDescent="0.3">
      <c r="B645" s="103"/>
      <c r="C645" s="103"/>
      <c r="D645" s="103"/>
      <c r="E645" s="103"/>
      <c r="F645" s="103"/>
      <c r="G645" s="103"/>
      <c r="H645" s="103"/>
      <c r="I645" s="103"/>
    </row>
    <row r="646" spans="2:9" x14ac:dyDescent="0.3">
      <c r="B646" s="103"/>
      <c r="C646" s="103"/>
      <c r="D646" s="103"/>
      <c r="E646" s="103"/>
      <c r="F646" s="103"/>
      <c r="G646" s="103"/>
      <c r="H646" s="103"/>
      <c r="I646" s="103"/>
    </row>
    <row r="647" spans="2:9" x14ac:dyDescent="0.3">
      <c r="B647" s="103"/>
      <c r="C647" s="103"/>
      <c r="D647" s="103"/>
      <c r="E647" s="103"/>
      <c r="F647" s="103"/>
      <c r="G647" s="103"/>
      <c r="H647" s="103"/>
      <c r="I647" s="103"/>
    </row>
    <row r="648" spans="2:9" x14ac:dyDescent="0.3">
      <c r="B648" s="103"/>
      <c r="C648" s="103"/>
      <c r="D648" s="103"/>
      <c r="E648" s="103"/>
      <c r="F648" s="103"/>
      <c r="G648" s="103"/>
      <c r="H648" s="103"/>
      <c r="I648" s="103"/>
    </row>
    <row r="649" spans="2:9" x14ac:dyDescent="0.3">
      <c r="B649" s="103"/>
      <c r="C649" s="103"/>
      <c r="D649" s="103"/>
      <c r="E649" s="103"/>
      <c r="F649" s="103"/>
      <c r="G649" s="103"/>
      <c r="H649" s="103"/>
      <c r="I649" s="103"/>
    </row>
    <row r="650" spans="2:9" x14ac:dyDescent="0.3">
      <c r="B650" s="103"/>
      <c r="C650" s="103"/>
      <c r="D650" s="103"/>
      <c r="E650" s="103"/>
      <c r="F650" s="103"/>
      <c r="G650" s="103"/>
      <c r="H650" s="103"/>
      <c r="I650" s="103"/>
    </row>
    <row r="651" spans="2:9" x14ac:dyDescent="0.3">
      <c r="B651" s="103"/>
      <c r="C651" s="103"/>
      <c r="D651" s="103"/>
      <c r="E651" s="103"/>
      <c r="F651" s="103"/>
      <c r="G651" s="103"/>
      <c r="H651" s="103"/>
      <c r="I651" s="103"/>
    </row>
    <row r="652" spans="2:9" x14ac:dyDescent="0.3">
      <c r="B652" s="103"/>
      <c r="C652" s="103"/>
      <c r="D652" s="103"/>
      <c r="E652" s="103"/>
      <c r="F652" s="103"/>
      <c r="G652" s="103"/>
      <c r="H652" s="103"/>
      <c r="I652" s="103"/>
    </row>
    <row r="653" spans="2:9" x14ac:dyDescent="0.3">
      <c r="B653" s="103"/>
      <c r="C653" s="103"/>
      <c r="D653" s="103"/>
      <c r="E653" s="103"/>
      <c r="F653" s="103"/>
      <c r="G653" s="103"/>
      <c r="H653" s="103"/>
      <c r="I653" s="103"/>
    </row>
    <row r="654" spans="2:9" x14ac:dyDescent="0.3">
      <c r="B654" s="103"/>
      <c r="C654" s="103"/>
      <c r="D654" s="103"/>
      <c r="E654" s="103"/>
      <c r="F654" s="103"/>
      <c r="G654" s="103"/>
      <c r="H654" s="103"/>
      <c r="I654" s="103"/>
    </row>
    <row r="655" spans="2:9" x14ac:dyDescent="0.3">
      <c r="B655" s="103"/>
      <c r="C655" s="103"/>
      <c r="D655" s="103"/>
      <c r="E655" s="103"/>
      <c r="F655" s="103"/>
      <c r="G655" s="103"/>
      <c r="H655" s="103"/>
      <c r="I655" s="103"/>
    </row>
    <row r="656" spans="2:9" x14ac:dyDescent="0.3">
      <c r="B656" s="103"/>
      <c r="C656" s="103"/>
      <c r="D656" s="103"/>
      <c r="E656" s="103"/>
      <c r="F656" s="103"/>
      <c r="G656" s="103"/>
      <c r="H656" s="103"/>
      <c r="I656" s="103"/>
    </row>
    <row r="657" spans="2:9" x14ac:dyDescent="0.3">
      <c r="B657" s="103"/>
      <c r="C657" s="103"/>
      <c r="D657" s="103"/>
      <c r="E657" s="103"/>
      <c r="F657" s="103"/>
      <c r="G657" s="103"/>
      <c r="H657" s="103"/>
      <c r="I657" s="103"/>
    </row>
    <row r="658" spans="2:9" x14ac:dyDescent="0.3">
      <c r="B658" s="103"/>
      <c r="C658" s="103"/>
      <c r="D658" s="103"/>
      <c r="E658" s="103"/>
      <c r="F658" s="103"/>
      <c r="G658" s="103"/>
      <c r="H658" s="103"/>
      <c r="I658" s="103"/>
    </row>
    <row r="659" spans="2:9" x14ac:dyDescent="0.3">
      <c r="B659" s="103"/>
      <c r="C659" s="103"/>
      <c r="D659" s="103"/>
      <c r="E659" s="103"/>
      <c r="F659" s="103"/>
      <c r="G659" s="103"/>
      <c r="H659" s="103"/>
      <c r="I659" s="103"/>
    </row>
    <row r="660" spans="2:9" x14ac:dyDescent="0.3">
      <c r="B660" s="103"/>
      <c r="C660" s="103"/>
      <c r="D660" s="103"/>
      <c r="E660" s="103"/>
      <c r="F660" s="103"/>
      <c r="G660" s="103"/>
      <c r="H660" s="103"/>
      <c r="I660" s="103"/>
    </row>
    <row r="661" spans="2:9" x14ac:dyDescent="0.3">
      <c r="B661" s="103"/>
      <c r="C661" s="103"/>
      <c r="D661" s="103"/>
      <c r="E661" s="103"/>
      <c r="F661" s="103"/>
      <c r="G661" s="103"/>
      <c r="H661" s="103"/>
      <c r="I661" s="103"/>
    </row>
    <row r="662" spans="2:9" x14ac:dyDescent="0.3">
      <c r="B662" s="103"/>
      <c r="C662" s="103"/>
      <c r="D662" s="103"/>
      <c r="E662" s="103"/>
      <c r="F662" s="103"/>
      <c r="G662" s="103"/>
      <c r="H662" s="103"/>
      <c r="I662" s="103"/>
    </row>
    <row r="663" spans="2:9" x14ac:dyDescent="0.3">
      <c r="B663" s="103"/>
      <c r="C663" s="103"/>
      <c r="D663" s="103"/>
      <c r="E663" s="103"/>
      <c r="F663" s="103"/>
      <c r="G663" s="103"/>
      <c r="H663" s="103"/>
      <c r="I663" s="103"/>
    </row>
    <row r="664" spans="2:9" x14ac:dyDescent="0.3">
      <c r="B664" s="103"/>
      <c r="C664" s="103"/>
      <c r="D664" s="103"/>
      <c r="E664" s="103"/>
      <c r="F664" s="103"/>
      <c r="G664" s="103"/>
      <c r="H664" s="103"/>
      <c r="I664" s="103"/>
    </row>
    <row r="665" spans="2:9" x14ac:dyDescent="0.3">
      <c r="B665" s="103"/>
      <c r="C665" s="103"/>
      <c r="D665" s="103"/>
      <c r="E665" s="103"/>
      <c r="F665" s="103"/>
      <c r="G665" s="103"/>
      <c r="H665" s="103"/>
      <c r="I665" s="103"/>
    </row>
  </sheetData>
  <mergeCells count="20">
    <mergeCell ref="B2:I3"/>
    <mergeCell ref="C9:E9"/>
    <mergeCell ref="C10:E10"/>
    <mergeCell ref="C11:E11"/>
    <mergeCell ref="C12:E12"/>
    <mergeCell ref="C17:E17"/>
    <mergeCell ref="C6:E6"/>
    <mergeCell ref="C7:E7"/>
    <mergeCell ref="C8:E8"/>
    <mergeCell ref="C316:D316"/>
    <mergeCell ref="C222:H222"/>
    <mergeCell ref="C13:E13"/>
    <mergeCell ref="C14:E14"/>
    <mergeCell ref="C109:F109"/>
    <mergeCell ref="C159:H159"/>
    <mergeCell ref="C104:E104"/>
    <mergeCell ref="C77:E77"/>
    <mergeCell ref="C123:F123"/>
    <mergeCell ref="C15:E15"/>
    <mergeCell ref="C16:E16"/>
  </mergeCells>
  <phoneticPr fontId="2" type="noConversion"/>
  <pageMargins left="0.78740157480314965" right="0.59055118110236227" top="0.78740157480314965" bottom="0.78740157480314965" header="0.31496062992125984" footer="0.31496062992125984"/>
  <pageSetup paperSize="9" scale="65" orientation="portrait" horizontalDpi="360" verticalDpi="360" r:id="rId1"/>
  <rowBreaks count="4" manualBreakCount="4">
    <brk id="67" max="16383" man="1"/>
    <brk id="121" max="16383" man="1"/>
    <brk id="221" max="16383" man="1"/>
    <brk id="284" max="16383" man="1"/>
  </rowBreaks>
  <colBreaks count="1" manualBreakCount="1">
    <brk id="12" max="1048575" man="1"/>
  </colBreaks>
  <drawing r:id="rId2"/>
  <legacyDrawing r:id="rId3"/>
  <oleObjects>
    <mc:AlternateContent xmlns:mc="http://schemas.openxmlformats.org/markup-compatibility/2006">
      <mc:Choice Requires="x14">
        <oleObject progId="Equation.3" shapeId="15361" r:id="rId4">
          <objectPr defaultSize="0" autoPict="0" r:id="rId5">
            <anchor moveWithCells="1" sizeWithCells="1">
              <from>
                <xdr:col>2</xdr:col>
                <xdr:colOff>19050</xdr:colOff>
                <xdr:row>22</xdr:row>
                <xdr:rowOff>9525</xdr:rowOff>
              </from>
              <to>
                <xdr:col>4</xdr:col>
                <xdr:colOff>0</xdr:colOff>
                <xdr:row>24</xdr:row>
                <xdr:rowOff>19050</xdr:rowOff>
              </to>
            </anchor>
          </objectPr>
        </oleObject>
      </mc:Choice>
      <mc:Fallback>
        <oleObject progId="Equation.3" shapeId="15361" r:id="rId4"/>
      </mc:Fallback>
    </mc:AlternateContent>
    <mc:AlternateContent xmlns:mc="http://schemas.openxmlformats.org/markup-compatibility/2006">
      <mc:Choice Requires="x14">
        <oleObject progId="Equation.3" shapeId="15362" r:id="rId6">
          <objectPr defaultSize="0" autoPict="0" r:id="rId7">
            <anchor moveWithCells="1" sizeWithCells="1">
              <from>
                <xdr:col>2</xdr:col>
                <xdr:colOff>19050</xdr:colOff>
                <xdr:row>27</xdr:row>
                <xdr:rowOff>180975</xdr:rowOff>
              </from>
              <to>
                <xdr:col>3</xdr:col>
                <xdr:colOff>647700</xdr:colOff>
                <xdr:row>30</xdr:row>
                <xdr:rowOff>38100</xdr:rowOff>
              </to>
            </anchor>
          </objectPr>
        </oleObject>
      </mc:Choice>
      <mc:Fallback>
        <oleObject progId="Equation.3" shapeId="15362" r:id="rId6"/>
      </mc:Fallback>
    </mc:AlternateContent>
    <mc:AlternateContent xmlns:mc="http://schemas.openxmlformats.org/markup-compatibility/2006">
      <mc:Choice Requires="x14">
        <oleObject progId="Equation.3" shapeId="15363" r:id="rId8">
          <objectPr defaultSize="0" autoPict="0" r:id="rId9">
            <anchor moveWithCells="1" sizeWithCells="1">
              <from>
                <xdr:col>2</xdr:col>
                <xdr:colOff>19050</xdr:colOff>
                <xdr:row>34</xdr:row>
                <xdr:rowOff>38100</xdr:rowOff>
              </from>
              <to>
                <xdr:col>3</xdr:col>
                <xdr:colOff>419100</xdr:colOff>
                <xdr:row>36</xdr:row>
                <xdr:rowOff>38100</xdr:rowOff>
              </to>
            </anchor>
          </objectPr>
        </oleObject>
      </mc:Choice>
      <mc:Fallback>
        <oleObject progId="Equation.3" shapeId="15363" r:id="rId8"/>
      </mc:Fallback>
    </mc:AlternateContent>
    <mc:AlternateContent xmlns:mc="http://schemas.openxmlformats.org/markup-compatibility/2006">
      <mc:Choice Requires="x14">
        <oleObject progId="Equation.3" shapeId="15364" r:id="rId10">
          <objectPr defaultSize="0" autoPict="0" r:id="rId11">
            <anchor moveWithCells="1" sizeWithCells="1">
              <from>
                <xdr:col>2</xdr:col>
                <xdr:colOff>28575</xdr:colOff>
                <xdr:row>51</xdr:row>
                <xdr:rowOff>104775</xdr:rowOff>
              </from>
              <to>
                <xdr:col>3</xdr:col>
                <xdr:colOff>571500</xdr:colOff>
                <xdr:row>53</xdr:row>
                <xdr:rowOff>171450</xdr:rowOff>
              </to>
            </anchor>
          </objectPr>
        </oleObject>
      </mc:Choice>
      <mc:Fallback>
        <oleObject progId="Equation.3" shapeId="15364" r:id="rId10"/>
      </mc:Fallback>
    </mc:AlternateContent>
    <mc:AlternateContent xmlns:mc="http://schemas.openxmlformats.org/markup-compatibility/2006">
      <mc:Choice Requires="x14">
        <oleObject progId="Equation.3" shapeId="15365" r:id="rId12">
          <objectPr defaultSize="0" autoPict="0" r:id="rId13">
            <anchor moveWithCells="1" sizeWithCells="1">
              <from>
                <xdr:col>1</xdr:col>
                <xdr:colOff>180975</xdr:colOff>
                <xdr:row>57</xdr:row>
                <xdr:rowOff>85725</xdr:rowOff>
              </from>
              <to>
                <xdr:col>3</xdr:col>
                <xdr:colOff>752475</xdr:colOff>
                <xdr:row>59</xdr:row>
                <xdr:rowOff>171450</xdr:rowOff>
              </to>
            </anchor>
          </objectPr>
        </oleObject>
      </mc:Choice>
      <mc:Fallback>
        <oleObject progId="Equation.3" shapeId="15365" r:id="rId12"/>
      </mc:Fallback>
    </mc:AlternateContent>
    <mc:AlternateContent xmlns:mc="http://schemas.openxmlformats.org/markup-compatibility/2006">
      <mc:Choice Requires="x14">
        <oleObject progId="Equation.3" shapeId="15366" r:id="rId14">
          <objectPr defaultSize="0" autoPict="0" r:id="rId15">
            <anchor moveWithCells="1" sizeWithCells="1">
              <from>
                <xdr:col>2</xdr:col>
                <xdr:colOff>19050</xdr:colOff>
                <xdr:row>81</xdr:row>
                <xdr:rowOff>76200</xdr:rowOff>
              </from>
              <to>
                <xdr:col>5</xdr:col>
                <xdr:colOff>266700</xdr:colOff>
                <xdr:row>83</xdr:row>
                <xdr:rowOff>161925</xdr:rowOff>
              </to>
            </anchor>
          </objectPr>
        </oleObject>
      </mc:Choice>
      <mc:Fallback>
        <oleObject progId="Equation.3" shapeId="15366" r:id="rId14"/>
      </mc:Fallback>
    </mc:AlternateContent>
    <mc:AlternateContent xmlns:mc="http://schemas.openxmlformats.org/markup-compatibility/2006">
      <mc:Choice Requires="x14">
        <oleObject progId="Equation.3" shapeId="15367" r:id="rId16">
          <objectPr defaultSize="0" autoPict="0" r:id="rId17">
            <anchor moveWithCells="1" sizeWithCells="1">
              <from>
                <xdr:col>1</xdr:col>
                <xdr:colOff>228600</xdr:colOff>
                <xdr:row>85</xdr:row>
                <xdr:rowOff>38100</xdr:rowOff>
              </from>
              <to>
                <xdr:col>4</xdr:col>
                <xdr:colOff>419100</xdr:colOff>
                <xdr:row>88</xdr:row>
                <xdr:rowOff>47625</xdr:rowOff>
              </to>
            </anchor>
          </objectPr>
        </oleObject>
      </mc:Choice>
      <mc:Fallback>
        <oleObject progId="Equation.3" shapeId="15367" r:id="rId16"/>
      </mc:Fallback>
    </mc:AlternateContent>
    <mc:AlternateContent xmlns:mc="http://schemas.openxmlformats.org/markup-compatibility/2006">
      <mc:Choice Requires="x14">
        <oleObject progId="Equation.3" shapeId="15368" r:id="rId18">
          <objectPr defaultSize="0" autoPict="0" r:id="rId19">
            <anchor moveWithCells="1" sizeWithCells="1">
              <from>
                <xdr:col>2</xdr:col>
                <xdr:colOff>38100</xdr:colOff>
                <xdr:row>144</xdr:row>
                <xdr:rowOff>95250</xdr:rowOff>
              </from>
              <to>
                <xdr:col>3</xdr:col>
                <xdr:colOff>552450</xdr:colOff>
                <xdr:row>146</xdr:row>
                <xdr:rowOff>66675</xdr:rowOff>
              </to>
            </anchor>
          </objectPr>
        </oleObject>
      </mc:Choice>
      <mc:Fallback>
        <oleObject progId="Equation.3" shapeId="15368" r:id="rId18"/>
      </mc:Fallback>
    </mc:AlternateContent>
    <mc:AlternateContent xmlns:mc="http://schemas.openxmlformats.org/markup-compatibility/2006">
      <mc:Choice Requires="x14">
        <oleObject progId="Equation.3" shapeId="15369" r:id="rId20">
          <objectPr defaultSize="0" autoPict="0" r:id="rId21">
            <anchor moveWithCells="1" sizeWithCells="1">
              <from>
                <xdr:col>2</xdr:col>
                <xdr:colOff>104775</xdr:colOff>
                <xdr:row>166</xdr:row>
                <xdr:rowOff>66675</xdr:rowOff>
              </from>
              <to>
                <xdr:col>5</xdr:col>
                <xdr:colOff>9525</xdr:colOff>
                <xdr:row>168</xdr:row>
                <xdr:rowOff>114300</xdr:rowOff>
              </to>
            </anchor>
          </objectPr>
        </oleObject>
      </mc:Choice>
      <mc:Fallback>
        <oleObject progId="Equation.3" shapeId="15369" r:id="rId20"/>
      </mc:Fallback>
    </mc:AlternateContent>
    <mc:AlternateContent xmlns:mc="http://schemas.openxmlformats.org/markup-compatibility/2006">
      <mc:Choice Requires="x14">
        <oleObject progId="Equation.3" shapeId="15370" r:id="rId22">
          <objectPr defaultSize="0" autoPict="0" r:id="rId23">
            <anchor moveWithCells="1" sizeWithCells="1">
              <from>
                <xdr:col>2</xdr:col>
                <xdr:colOff>95250</xdr:colOff>
                <xdr:row>185</xdr:row>
                <xdr:rowOff>0</xdr:rowOff>
              </from>
              <to>
                <xdr:col>4</xdr:col>
                <xdr:colOff>19050</xdr:colOff>
                <xdr:row>185</xdr:row>
                <xdr:rowOff>0</xdr:rowOff>
              </to>
            </anchor>
          </objectPr>
        </oleObject>
      </mc:Choice>
      <mc:Fallback>
        <oleObject progId="Equation.3" shapeId="15370" r:id="rId22"/>
      </mc:Fallback>
    </mc:AlternateContent>
    <mc:AlternateContent xmlns:mc="http://schemas.openxmlformats.org/markup-compatibility/2006">
      <mc:Choice Requires="x14">
        <oleObject progId="PBrush" shapeId="15378" r:id="rId24">
          <objectPr defaultSize="0" autoPict="0" r:id="rId25">
            <anchor moveWithCells="1" sizeWithCells="1">
              <from>
                <xdr:col>2</xdr:col>
                <xdr:colOff>47625</xdr:colOff>
                <xdr:row>248</xdr:row>
                <xdr:rowOff>38100</xdr:rowOff>
              </from>
              <to>
                <xdr:col>5</xdr:col>
                <xdr:colOff>542925</xdr:colOff>
                <xdr:row>256</xdr:row>
                <xdr:rowOff>123825</xdr:rowOff>
              </to>
            </anchor>
          </objectPr>
        </oleObject>
      </mc:Choice>
      <mc:Fallback>
        <oleObject progId="PBrush" shapeId="15378" r:id="rId24"/>
      </mc:Fallback>
    </mc:AlternateContent>
    <mc:AlternateContent xmlns:mc="http://schemas.openxmlformats.org/markup-compatibility/2006">
      <mc:Choice Requires="x14">
        <oleObject progId="Equation.3" shapeId="15383" r:id="rId26">
          <objectPr defaultSize="0" autoPict="0" r:id="rId27">
            <anchor moveWithCells="1" sizeWithCells="1">
              <from>
                <xdr:col>2</xdr:col>
                <xdr:colOff>571500</xdr:colOff>
                <xdr:row>264</xdr:row>
                <xdr:rowOff>104775</xdr:rowOff>
              </from>
              <to>
                <xdr:col>3</xdr:col>
                <xdr:colOff>771525</xdr:colOff>
                <xdr:row>265</xdr:row>
                <xdr:rowOff>152400</xdr:rowOff>
              </to>
            </anchor>
          </objectPr>
        </oleObject>
      </mc:Choice>
      <mc:Fallback>
        <oleObject progId="Equation.3" shapeId="15383" r:id="rId26"/>
      </mc:Fallback>
    </mc:AlternateContent>
    <mc:AlternateContent xmlns:mc="http://schemas.openxmlformats.org/markup-compatibility/2006">
      <mc:Choice Requires="x14">
        <oleObject progId="Equation.3" shapeId="15384" r:id="rId28">
          <objectPr defaultSize="0" autoPict="0" r:id="rId29">
            <anchor moveWithCells="1" sizeWithCells="1">
              <from>
                <xdr:col>2</xdr:col>
                <xdr:colOff>600075</xdr:colOff>
                <xdr:row>273</xdr:row>
                <xdr:rowOff>76200</xdr:rowOff>
              </from>
              <to>
                <xdr:col>3</xdr:col>
                <xdr:colOff>533400</xdr:colOff>
                <xdr:row>275</xdr:row>
                <xdr:rowOff>142875</xdr:rowOff>
              </to>
            </anchor>
          </objectPr>
        </oleObject>
      </mc:Choice>
      <mc:Fallback>
        <oleObject progId="Equation.3" shapeId="15384" r:id="rId28"/>
      </mc:Fallback>
    </mc:AlternateContent>
    <mc:AlternateContent xmlns:mc="http://schemas.openxmlformats.org/markup-compatibility/2006">
      <mc:Choice Requires="x14">
        <oleObject progId="Equation.3" shapeId="15385" r:id="rId30">
          <objectPr defaultSize="0" autoPict="0" r:id="rId31">
            <anchor moveWithCells="1" sizeWithCells="1">
              <from>
                <xdr:col>1</xdr:col>
                <xdr:colOff>114300</xdr:colOff>
                <xdr:row>279</xdr:row>
                <xdr:rowOff>57150</xdr:rowOff>
              </from>
              <to>
                <xdr:col>3</xdr:col>
                <xdr:colOff>57150</xdr:colOff>
                <xdr:row>281</xdr:row>
                <xdr:rowOff>152400</xdr:rowOff>
              </to>
            </anchor>
          </objectPr>
        </oleObject>
      </mc:Choice>
      <mc:Fallback>
        <oleObject progId="Equation.3" shapeId="15385" r:id="rId30"/>
      </mc:Fallback>
    </mc:AlternateContent>
    <mc:AlternateContent xmlns:mc="http://schemas.openxmlformats.org/markup-compatibility/2006">
      <mc:Choice Requires="x14">
        <oleObject progId="PBrush" shapeId="15386" r:id="rId32">
          <objectPr defaultSize="0" autoPict="0" r:id="rId33">
            <anchor moveWithCells="1" sizeWithCells="1">
              <from>
                <xdr:col>2</xdr:col>
                <xdr:colOff>219075</xdr:colOff>
                <xdr:row>285</xdr:row>
                <xdr:rowOff>114300</xdr:rowOff>
              </from>
              <to>
                <xdr:col>3</xdr:col>
                <xdr:colOff>733425</xdr:colOff>
                <xdr:row>291</xdr:row>
                <xdr:rowOff>85725</xdr:rowOff>
              </to>
            </anchor>
          </objectPr>
        </oleObject>
      </mc:Choice>
      <mc:Fallback>
        <oleObject progId="PBrush" shapeId="15386" r:id="rId32"/>
      </mc:Fallback>
    </mc:AlternateContent>
    <mc:AlternateContent xmlns:mc="http://schemas.openxmlformats.org/markup-compatibility/2006">
      <mc:Choice Requires="x14">
        <oleObject progId="Equation.3" shapeId="15387" r:id="rId34">
          <objectPr defaultSize="0" autoPict="0" r:id="rId35">
            <anchor moveWithCells="1" sizeWithCells="1">
              <from>
                <xdr:col>2</xdr:col>
                <xdr:colOff>0</xdr:colOff>
                <xdr:row>294</xdr:row>
                <xdr:rowOff>0</xdr:rowOff>
              </from>
              <to>
                <xdr:col>2</xdr:col>
                <xdr:colOff>762000</xdr:colOff>
                <xdr:row>294</xdr:row>
                <xdr:rowOff>152400</xdr:rowOff>
              </to>
            </anchor>
          </objectPr>
        </oleObject>
      </mc:Choice>
      <mc:Fallback>
        <oleObject progId="Equation.3" shapeId="15387" r:id="rId34"/>
      </mc:Fallback>
    </mc:AlternateContent>
    <mc:AlternateContent xmlns:mc="http://schemas.openxmlformats.org/markup-compatibility/2006">
      <mc:Choice Requires="x14">
        <oleObject progId="Equation.3" shapeId="15389" r:id="rId36">
          <objectPr defaultSize="0" autoPict="0" r:id="rId37">
            <anchor moveWithCells="1" sizeWithCells="1">
              <from>
                <xdr:col>1</xdr:col>
                <xdr:colOff>238125</xdr:colOff>
                <xdr:row>295</xdr:row>
                <xdr:rowOff>180975</xdr:rowOff>
              </from>
              <to>
                <xdr:col>3</xdr:col>
                <xdr:colOff>38100</xdr:colOff>
                <xdr:row>296</xdr:row>
                <xdr:rowOff>171450</xdr:rowOff>
              </to>
            </anchor>
          </objectPr>
        </oleObject>
      </mc:Choice>
      <mc:Fallback>
        <oleObject progId="Equation.3" shapeId="15389" r:id="rId36"/>
      </mc:Fallback>
    </mc:AlternateContent>
    <mc:AlternateContent xmlns:mc="http://schemas.openxmlformats.org/markup-compatibility/2006">
      <mc:Choice Requires="x14">
        <oleObject progId="Equation.3" shapeId="15411" r:id="rId38">
          <objectPr defaultSize="0" autoPict="0" r:id="rId39">
            <anchor moveWithCells="1" sizeWithCells="1">
              <from>
                <xdr:col>2</xdr:col>
                <xdr:colOff>9525</xdr:colOff>
                <xdr:row>186</xdr:row>
                <xdr:rowOff>0</xdr:rowOff>
              </from>
              <to>
                <xdr:col>3</xdr:col>
                <xdr:colOff>733425</xdr:colOff>
                <xdr:row>188</xdr:row>
                <xdr:rowOff>66675</xdr:rowOff>
              </to>
            </anchor>
          </objectPr>
        </oleObject>
      </mc:Choice>
      <mc:Fallback>
        <oleObject progId="Equation.3" shapeId="15411" r:id="rId38"/>
      </mc:Fallback>
    </mc:AlternateContent>
    <mc:AlternateContent xmlns:mc="http://schemas.openxmlformats.org/markup-compatibility/2006">
      <mc:Choice Requires="x14">
        <oleObject progId="Equation.3" shapeId="15413" r:id="rId40">
          <objectPr defaultSize="0" autoPict="0" r:id="rId41">
            <anchor moveWithCells="1" sizeWithCells="1">
              <from>
                <xdr:col>2</xdr:col>
                <xdr:colOff>628650</xdr:colOff>
                <xdr:row>201</xdr:row>
                <xdr:rowOff>114300</xdr:rowOff>
              </from>
              <to>
                <xdr:col>4</xdr:col>
                <xdr:colOff>161925</xdr:colOff>
                <xdr:row>203</xdr:row>
                <xdr:rowOff>104775</xdr:rowOff>
              </to>
            </anchor>
          </objectPr>
        </oleObject>
      </mc:Choice>
      <mc:Fallback>
        <oleObject progId="Equation.3" shapeId="15413" r:id="rId40"/>
      </mc:Fallback>
    </mc:AlternateContent>
    <mc:AlternateContent xmlns:mc="http://schemas.openxmlformats.org/markup-compatibility/2006">
      <mc:Choice Requires="x14">
        <oleObject progId="Equation.3" shapeId="15564" r:id="rId42">
          <objectPr defaultSize="0" autoPict="0" r:id="rId43">
            <anchor moveWithCells="1" sizeWithCells="1">
              <from>
                <xdr:col>2</xdr:col>
                <xdr:colOff>47625</xdr:colOff>
                <xdr:row>143</xdr:row>
                <xdr:rowOff>66675</xdr:rowOff>
              </from>
              <to>
                <xdr:col>3</xdr:col>
                <xdr:colOff>561975</xdr:colOff>
                <xdr:row>145</xdr:row>
                <xdr:rowOff>38100</xdr:rowOff>
              </to>
            </anchor>
          </objectPr>
        </oleObject>
      </mc:Choice>
      <mc:Fallback>
        <oleObject progId="Equation.3" shapeId="15564" r:id="rId42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L145"/>
  <sheetViews>
    <sheetView zoomScale="60" zoomScaleNormal="60" zoomScaleSheetLayoutView="106" workbookViewId="0">
      <selection activeCell="V32" sqref="V32"/>
    </sheetView>
  </sheetViews>
  <sheetFormatPr baseColWidth="10" defaultRowHeight="16.5" x14ac:dyDescent="0.3"/>
  <cols>
    <col min="1" max="1" width="7.25" style="180" customWidth="1"/>
    <col min="2" max="2" width="3.25" style="180" customWidth="1"/>
    <col min="3" max="3" width="12.875" style="180" customWidth="1"/>
    <col min="4" max="4" width="11" style="180"/>
    <col min="5" max="5" width="9.625" style="180" customWidth="1"/>
    <col min="6" max="6" width="10" style="180" customWidth="1"/>
    <col min="7" max="7" width="10.125" style="180" customWidth="1"/>
    <col min="8" max="8" width="8.625" style="180" customWidth="1"/>
    <col min="9" max="9" width="7.375" style="180" customWidth="1"/>
    <col min="10" max="10" width="8.25" style="180" customWidth="1"/>
    <col min="11" max="16384" width="11" style="180"/>
  </cols>
  <sheetData>
    <row r="1" spans="2:9" ht="17.25" thickBot="1" x14ac:dyDescent="0.35"/>
    <row r="2" spans="2:9" ht="17.25" thickTop="1" x14ac:dyDescent="0.3">
      <c r="B2" s="414" t="s">
        <v>141</v>
      </c>
      <c r="C2" s="415"/>
      <c r="D2" s="415"/>
      <c r="E2" s="415"/>
      <c r="F2" s="415"/>
      <c r="G2" s="415"/>
      <c r="H2" s="415"/>
      <c r="I2" s="416"/>
    </row>
    <row r="3" spans="2:9" x14ac:dyDescent="0.3">
      <c r="B3" s="181"/>
      <c r="C3" s="182"/>
      <c r="D3" s="182"/>
      <c r="E3" s="182"/>
      <c r="F3" s="182"/>
      <c r="G3" s="182"/>
      <c r="H3" s="183"/>
      <c r="I3" s="184"/>
    </row>
    <row r="4" spans="2:9" x14ac:dyDescent="0.3">
      <c r="B4" s="185" t="s">
        <v>214</v>
      </c>
      <c r="C4" s="417" t="s">
        <v>216</v>
      </c>
      <c r="D4" s="417"/>
      <c r="E4" s="417"/>
      <c r="F4" s="417"/>
      <c r="G4" s="417"/>
      <c r="H4" s="417"/>
      <c r="I4" s="418"/>
    </row>
    <row r="5" spans="2:9" x14ac:dyDescent="0.3">
      <c r="B5" s="185" t="s">
        <v>27</v>
      </c>
      <c r="C5" s="417" t="s">
        <v>142</v>
      </c>
      <c r="D5" s="417"/>
      <c r="E5" s="417"/>
      <c r="F5" s="417"/>
      <c r="G5" s="417"/>
      <c r="H5" s="417"/>
      <c r="I5" s="418"/>
    </row>
    <row r="6" spans="2:9" x14ac:dyDescent="0.3">
      <c r="B6" s="186"/>
      <c r="C6" s="183"/>
      <c r="D6" s="187">
        <f>0.283*'DISEÑO HIDRAULICO'!D147</f>
        <v>1.248833915758619</v>
      </c>
      <c r="E6" s="188">
        <f>E16-2*D6</f>
        <v>4.002332168482762</v>
      </c>
      <c r="F6" s="183"/>
      <c r="G6" s="183"/>
      <c r="H6" s="183"/>
      <c r="I6" s="184"/>
    </row>
    <row r="7" spans="2:9" x14ac:dyDescent="0.3">
      <c r="B7" s="186"/>
      <c r="C7" s="183"/>
      <c r="D7" s="183"/>
      <c r="E7" s="183"/>
      <c r="F7" s="183"/>
      <c r="G7" s="183"/>
      <c r="H7" s="183"/>
      <c r="I7" s="184"/>
    </row>
    <row r="8" spans="2:9" x14ac:dyDescent="0.3">
      <c r="B8" s="186"/>
      <c r="C8" s="183"/>
      <c r="D8" s="183"/>
      <c r="E8" s="183"/>
      <c r="F8" s="183"/>
      <c r="G8" s="183"/>
      <c r="H8" s="183"/>
      <c r="I8" s="184"/>
    </row>
    <row r="9" spans="2:9" x14ac:dyDescent="0.3">
      <c r="B9" s="186"/>
      <c r="C9" s="183"/>
      <c r="D9" s="183"/>
      <c r="E9" s="183"/>
      <c r="F9" s="183"/>
      <c r="G9" s="183"/>
      <c r="H9" s="183"/>
      <c r="I9" s="184"/>
    </row>
    <row r="10" spans="2:9" x14ac:dyDescent="0.3">
      <c r="B10" s="186" t="s">
        <v>49</v>
      </c>
      <c r="C10" s="189">
        <f>'DISEÑO HIDRAULICO'!D105</f>
        <v>1.0999999999999999</v>
      </c>
      <c r="D10" s="190" t="s">
        <v>275</v>
      </c>
      <c r="E10" s="183"/>
      <c r="F10" s="183"/>
      <c r="G10" s="183"/>
      <c r="H10" s="183"/>
      <c r="I10" s="184"/>
    </row>
    <row r="11" spans="2:9" x14ac:dyDescent="0.3">
      <c r="B11" s="186"/>
      <c r="C11" s="183"/>
      <c r="D11" s="183"/>
      <c r="E11" s="190" t="s">
        <v>129</v>
      </c>
      <c r="F11" s="183"/>
      <c r="G11" s="183"/>
      <c r="H11" s="183"/>
      <c r="I11" s="184"/>
    </row>
    <row r="12" spans="2:9" x14ac:dyDescent="0.3">
      <c r="B12" s="186"/>
      <c r="C12" s="183"/>
      <c r="D12" s="183"/>
      <c r="E12" s="183"/>
      <c r="F12" s="191">
        <f>D6</f>
        <v>1.248833915758619</v>
      </c>
      <c r="G12" s="183"/>
      <c r="H12" s="183"/>
      <c r="I12" s="184"/>
    </row>
    <row r="13" spans="2:9" x14ac:dyDescent="0.3">
      <c r="B13" s="186"/>
      <c r="C13" s="183"/>
      <c r="D13" s="183"/>
      <c r="E13" s="183"/>
      <c r="F13" s="183"/>
      <c r="G13" s="183"/>
      <c r="H13" s="183"/>
      <c r="I13" s="184"/>
    </row>
    <row r="14" spans="2:9" x14ac:dyDescent="0.3">
      <c r="B14" s="186"/>
      <c r="C14" s="192" t="s">
        <v>346</v>
      </c>
      <c r="D14" s="193">
        <v>3.87</v>
      </c>
      <c r="E14" s="190" t="s">
        <v>137</v>
      </c>
      <c r="F14" s="183"/>
      <c r="G14" s="183"/>
      <c r="H14" s="183"/>
      <c r="I14" s="184"/>
    </row>
    <row r="15" spans="2:9" x14ac:dyDescent="0.3">
      <c r="B15" s="186"/>
      <c r="C15" s="183"/>
      <c r="D15" s="183"/>
      <c r="E15" s="183"/>
      <c r="F15" s="183"/>
      <c r="G15" s="183"/>
      <c r="H15" s="183"/>
      <c r="I15" s="184"/>
    </row>
    <row r="16" spans="2:9" x14ac:dyDescent="0.3">
      <c r="B16" s="186"/>
      <c r="C16" s="183"/>
      <c r="D16" s="194" t="s">
        <v>139</v>
      </c>
      <c r="E16" s="188">
        <f>'DISEÑO HIDRAULICO'!D310</f>
        <v>6.5</v>
      </c>
      <c r="F16" s="183"/>
      <c r="G16" s="183"/>
      <c r="H16" s="183"/>
      <c r="I16" s="184"/>
    </row>
    <row r="17" spans="2:12" ht="17.25" thickBot="1" x14ac:dyDescent="0.35">
      <c r="B17" s="186"/>
      <c r="C17" s="183"/>
      <c r="D17" s="183"/>
      <c r="E17" s="183"/>
      <c r="F17" s="195" t="s">
        <v>242</v>
      </c>
      <c r="G17" s="183"/>
      <c r="H17" s="183"/>
      <c r="I17" s="184"/>
    </row>
    <row r="18" spans="2:12" ht="17.25" thickTop="1" x14ac:dyDescent="0.3">
      <c r="B18" s="186"/>
      <c r="C18" s="196" t="s">
        <v>130</v>
      </c>
      <c r="D18" s="197" t="s">
        <v>131</v>
      </c>
      <c r="E18" s="197" t="s">
        <v>132</v>
      </c>
      <c r="F18" s="197" t="s">
        <v>133</v>
      </c>
      <c r="G18" s="197" t="s">
        <v>134</v>
      </c>
      <c r="H18" s="197" t="s">
        <v>135</v>
      </c>
      <c r="I18" s="198" t="s">
        <v>136</v>
      </c>
    </row>
    <row r="19" spans="2:12" x14ac:dyDescent="0.3">
      <c r="B19" s="186"/>
      <c r="C19" s="199" t="s">
        <v>2</v>
      </c>
      <c r="D19" s="200">
        <f>C10*D6</f>
        <v>1.3737173073344808</v>
      </c>
      <c r="E19" s="200">
        <f>D19*2.4</f>
        <v>3.2969215376027541</v>
      </c>
      <c r="F19" s="200">
        <f>E16-D6/2</f>
        <v>5.8755830421206907</v>
      </c>
      <c r="G19" s="200">
        <f>D14+C10/2</f>
        <v>4.42</v>
      </c>
      <c r="H19" s="200">
        <f>E19*F19</f>
        <v>19.371336277541214</v>
      </c>
      <c r="I19" s="201">
        <f>E19*G19</f>
        <v>14.572393196204173</v>
      </c>
    </row>
    <row r="20" spans="2:12" x14ac:dyDescent="0.3">
      <c r="B20" s="186"/>
      <c r="C20" s="199" t="s">
        <v>3</v>
      </c>
      <c r="D20" s="200">
        <f>0.5*E6*C10</f>
        <v>2.2012826926655187</v>
      </c>
      <c r="E20" s="200">
        <f>D20*2.4</f>
        <v>5.2830784623972447</v>
      </c>
      <c r="F20" s="200">
        <f>(2/3*E6+F12)</f>
        <v>3.9170553614137935</v>
      </c>
      <c r="G20" s="200">
        <f>D14+C10/3</f>
        <v>4.2366666666666664</v>
      </c>
      <c r="H20" s="200">
        <f>E20*F20</f>
        <v>20.694110815902867</v>
      </c>
      <c r="I20" s="201">
        <f>E20*G20</f>
        <v>22.382642419022993</v>
      </c>
      <c r="L20" s="180">
        <v>3.5</v>
      </c>
    </row>
    <row r="21" spans="2:12" x14ac:dyDescent="0.3">
      <c r="B21" s="186"/>
      <c r="C21" s="199" t="s">
        <v>138</v>
      </c>
      <c r="D21" s="200">
        <f>E16*D14</f>
        <v>25.155000000000001</v>
      </c>
      <c r="E21" s="200">
        <f>D21*2.4</f>
        <v>60.372</v>
      </c>
      <c r="F21" s="200">
        <f>E16/2</f>
        <v>3.25</v>
      </c>
      <c r="G21" s="200">
        <f>D14/2</f>
        <v>1.9350000000000001</v>
      </c>
      <c r="H21" s="200">
        <f>E21*F21</f>
        <v>196.209</v>
      </c>
      <c r="I21" s="201">
        <f>E21*G21</f>
        <v>116.81982000000001</v>
      </c>
    </row>
    <row r="22" spans="2:12" ht="17.25" thickBot="1" x14ac:dyDescent="0.35">
      <c r="B22" s="186"/>
      <c r="C22" s="202" t="s">
        <v>140</v>
      </c>
      <c r="D22" s="203">
        <f>SUM(D19:D21)</f>
        <v>28.73</v>
      </c>
      <c r="E22" s="203">
        <f>SUM(E19:E21)</f>
        <v>68.951999999999998</v>
      </c>
      <c r="F22" s="204"/>
      <c r="G22" s="204"/>
      <c r="H22" s="203">
        <f>SUM(H19:H21)</f>
        <v>236.27444709344408</v>
      </c>
      <c r="I22" s="205">
        <f>SUM(I19:I21)</f>
        <v>153.77485561522718</v>
      </c>
    </row>
    <row r="23" spans="2:12" ht="17.25" thickTop="1" x14ac:dyDescent="0.3">
      <c r="B23" s="186"/>
      <c r="C23" s="183"/>
      <c r="D23" s="183"/>
      <c r="E23" s="183"/>
      <c r="F23" s="183"/>
      <c r="G23" s="183"/>
      <c r="H23" s="183"/>
      <c r="I23" s="184"/>
    </row>
    <row r="24" spans="2:12" x14ac:dyDescent="0.3">
      <c r="B24" s="186"/>
      <c r="C24" s="183"/>
      <c r="D24" s="183"/>
      <c r="E24" s="206">
        <f>H22/E22</f>
        <v>3.4266511064718079</v>
      </c>
      <c r="F24" s="183"/>
      <c r="G24" s="206">
        <f>I22/E22</f>
        <v>2.2301725202347602</v>
      </c>
      <c r="H24" s="183"/>
      <c r="I24" s="184"/>
    </row>
    <row r="25" spans="2:12" ht="17.25" thickBot="1" x14ac:dyDescent="0.35">
      <c r="B25" s="207"/>
      <c r="C25" s="208"/>
      <c r="D25" s="208"/>
      <c r="E25" s="208"/>
      <c r="F25" s="208"/>
      <c r="G25" s="208"/>
      <c r="H25" s="208"/>
      <c r="I25" s="209"/>
    </row>
    <row r="26" spans="2:12" ht="17.25" thickTop="1" x14ac:dyDescent="0.3"/>
    <row r="27" spans="2:12" x14ac:dyDescent="0.3">
      <c r="B27" s="210" t="s">
        <v>46</v>
      </c>
      <c r="C27" s="409" t="s">
        <v>161</v>
      </c>
      <c r="D27" s="409"/>
      <c r="E27" s="409"/>
      <c r="F27" s="409"/>
      <c r="G27" s="409"/>
      <c r="H27" s="409"/>
      <c r="I27" s="409"/>
      <c r="J27" s="409"/>
      <c r="K27" s="410"/>
    </row>
    <row r="28" spans="2:12" x14ac:dyDescent="0.3">
      <c r="B28" s="211"/>
      <c r="C28" s="183"/>
      <c r="D28" s="183"/>
      <c r="E28" s="183"/>
      <c r="F28" s="183"/>
      <c r="G28" s="183"/>
      <c r="H28" s="183"/>
      <c r="I28" s="183"/>
      <c r="J28" s="183"/>
      <c r="K28" s="212"/>
    </row>
    <row r="29" spans="2:12" x14ac:dyDescent="0.3">
      <c r="B29" s="211"/>
      <c r="C29" s="183" t="s">
        <v>269</v>
      </c>
      <c r="D29" s="183"/>
      <c r="E29" s="183"/>
      <c r="F29" s="183"/>
      <c r="G29" s="183"/>
      <c r="H29" s="183">
        <f>0.05*9.81</f>
        <v>0.49050000000000005</v>
      </c>
      <c r="I29" s="183" t="s">
        <v>167</v>
      </c>
      <c r="J29" s="183"/>
      <c r="K29" s="212"/>
    </row>
    <row r="30" spans="2:12" x14ac:dyDescent="0.3">
      <c r="B30" s="211"/>
      <c r="C30" s="183"/>
      <c r="D30" s="183"/>
      <c r="E30" s="183"/>
      <c r="F30" s="183"/>
      <c r="G30" s="183"/>
      <c r="H30" s="183"/>
      <c r="I30" s="183"/>
      <c r="J30" s="183"/>
      <c r="K30" s="212"/>
    </row>
    <row r="31" spans="2:12" x14ac:dyDescent="0.3">
      <c r="B31" s="211"/>
      <c r="C31" s="183"/>
      <c r="D31" s="183"/>
      <c r="E31" s="183"/>
      <c r="F31" s="183" t="s">
        <v>165</v>
      </c>
      <c r="G31" s="183" t="s">
        <v>166</v>
      </c>
      <c r="H31" s="183"/>
      <c r="I31" s="183"/>
      <c r="J31" s="183"/>
      <c r="K31" s="212"/>
    </row>
    <row r="32" spans="2:12" x14ac:dyDescent="0.3">
      <c r="B32" s="211"/>
      <c r="C32" s="183"/>
      <c r="D32" s="183"/>
      <c r="E32" s="183"/>
      <c r="F32" s="183" t="s">
        <v>173</v>
      </c>
      <c r="G32" s="187">
        <f>E22/9.81*H29</f>
        <v>3.4476</v>
      </c>
      <c r="H32" s="183" t="s">
        <v>168</v>
      </c>
      <c r="I32" s="183"/>
      <c r="J32" s="183"/>
      <c r="K32" s="212"/>
    </row>
    <row r="33" spans="2:11" x14ac:dyDescent="0.3">
      <c r="B33" s="211"/>
      <c r="C33" s="194" t="s">
        <v>162</v>
      </c>
      <c r="D33" s="183"/>
      <c r="E33" s="183"/>
      <c r="F33" s="183"/>
      <c r="G33" s="183"/>
      <c r="H33" s="183"/>
      <c r="I33" s="183"/>
      <c r="J33" s="183"/>
      <c r="K33" s="212"/>
    </row>
    <row r="34" spans="2:11" x14ac:dyDescent="0.3">
      <c r="B34" s="211"/>
      <c r="C34" s="183"/>
      <c r="D34" s="183"/>
      <c r="E34" s="183"/>
      <c r="F34" s="183"/>
      <c r="G34" s="183"/>
      <c r="H34" s="183"/>
      <c r="I34" s="183"/>
      <c r="J34" s="183"/>
      <c r="K34" s="212"/>
    </row>
    <row r="35" spans="2:11" x14ac:dyDescent="0.3">
      <c r="B35" s="211"/>
      <c r="C35" s="183"/>
      <c r="D35" s="195" t="s">
        <v>163</v>
      </c>
      <c r="E35" s="183"/>
      <c r="F35" s="183" t="s">
        <v>171</v>
      </c>
      <c r="G35" s="183"/>
      <c r="H35" s="183"/>
      <c r="I35" s="183"/>
      <c r="J35" s="183"/>
      <c r="K35" s="212"/>
    </row>
    <row r="36" spans="2:11" x14ac:dyDescent="0.3">
      <c r="B36" s="211"/>
      <c r="C36" s="183"/>
      <c r="D36" s="183"/>
      <c r="E36" s="183"/>
      <c r="F36" s="183"/>
      <c r="G36" s="183"/>
      <c r="H36" s="183"/>
      <c r="I36" s="183"/>
      <c r="J36" s="183"/>
      <c r="K36" s="212"/>
    </row>
    <row r="37" spans="2:11" x14ac:dyDescent="0.3">
      <c r="B37" s="211"/>
      <c r="C37" s="183"/>
      <c r="D37" s="195" t="s">
        <v>270</v>
      </c>
      <c r="E37" s="183" t="s">
        <v>169</v>
      </c>
      <c r="F37" s="183" t="s">
        <v>172</v>
      </c>
      <c r="G37" s="183"/>
      <c r="H37" s="183"/>
      <c r="I37" s="183"/>
      <c r="J37" s="183"/>
      <c r="K37" s="212"/>
    </row>
    <row r="38" spans="2:11" x14ac:dyDescent="0.3">
      <c r="B38" s="211"/>
      <c r="C38" s="183"/>
      <c r="D38" s="183" t="s">
        <v>164</v>
      </c>
      <c r="E38" s="183" t="s">
        <v>170</v>
      </c>
      <c r="F38" s="183"/>
      <c r="G38" s="183"/>
      <c r="H38" s="183"/>
      <c r="I38" s="183"/>
      <c r="J38" s="183"/>
      <c r="K38" s="212"/>
    </row>
    <row r="39" spans="2:11" x14ac:dyDescent="0.3">
      <c r="B39" s="211"/>
      <c r="C39" s="183"/>
      <c r="D39" s="183"/>
      <c r="E39" s="183"/>
      <c r="F39" s="183" t="s">
        <v>174</v>
      </c>
      <c r="G39" s="183"/>
      <c r="H39" s="183"/>
      <c r="I39" s="183"/>
      <c r="J39" s="183"/>
      <c r="K39" s="212"/>
    </row>
    <row r="40" spans="2:11" x14ac:dyDescent="0.3">
      <c r="B40" s="211"/>
      <c r="C40" s="183"/>
      <c r="D40" s="183"/>
      <c r="E40" s="183"/>
      <c r="F40" s="183"/>
      <c r="G40" s="183"/>
      <c r="H40" s="183"/>
      <c r="I40" s="183"/>
      <c r="J40" s="183"/>
      <c r="K40" s="212"/>
    </row>
    <row r="41" spans="2:11" x14ac:dyDescent="0.3">
      <c r="B41" s="211"/>
      <c r="C41" s="183"/>
      <c r="D41" s="183"/>
      <c r="E41" s="183"/>
      <c r="F41" s="213" t="s">
        <v>175</v>
      </c>
      <c r="G41" s="214">
        <f>0.05*G24</f>
        <v>0.11150862601173801</v>
      </c>
      <c r="H41" s="213" t="s">
        <v>20</v>
      </c>
      <c r="I41" s="183"/>
      <c r="J41" s="183"/>
      <c r="K41" s="212"/>
    </row>
    <row r="42" spans="2:11" x14ac:dyDescent="0.3">
      <c r="B42" s="211"/>
      <c r="C42" s="183" t="s">
        <v>176</v>
      </c>
      <c r="D42" s="183"/>
      <c r="E42" s="183"/>
      <c r="F42" s="183"/>
      <c r="G42" s="183"/>
      <c r="H42" s="183"/>
      <c r="I42" s="183"/>
      <c r="J42" s="183"/>
      <c r="K42" s="212"/>
    </row>
    <row r="43" spans="2:11" x14ac:dyDescent="0.3">
      <c r="B43" s="211"/>
      <c r="C43" s="183" t="s">
        <v>177</v>
      </c>
      <c r="D43" s="183"/>
      <c r="E43" s="183"/>
      <c r="F43" s="183"/>
      <c r="G43" s="183"/>
      <c r="H43" s="183"/>
      <c r="I43" s="183"/>
      <c r="J43" s="183"/>
      <c r="K43" s="212"/>
    </row>
    <row r="44" spans="2:11" x14ac:dyDescent="0.3">
      <c r="B44" s="211"/>
      <c r="C44" s="213" t="s">
        <v>178</v>
      </c>
      <c r="D44" s="214">
        <f>G41+E24</f>
        <v>3.5381597324835461</v>
      </c>
      <c r="E44" s="213" t="s">
        <v>20</v>
      </c>
      <c r="F44" s="183"/>
      <c r="G44" s="183"/>
      <c r="H44" s="183"/>
      <c r="I44" s="183"/>
      <c r="J44" s="183"/>
      <c r="K44" s="212"/>
    </row>
    <row r="45" spans="2:11" x14ac:dyDescent="0.3">
      <c r="B45" s="211"/>
      <c r="C45" s="183"/>
      <c r="D45" s="183"/>
      <c r="E45" s="183"/>
      <c r="F45" s="183"/>
      <c r="G45" s="183"/>
      <c r="H45" s="183"/>
      <c r="I45" s="183"/>
      <c r="J45" s="183"/>
      <c r="K45" s="212"/>
    </row>
    <row r="46" spans="2:11" x14ac:dyDescent="0.3">
      <c r="B46" s="211"/>
      <c r="C46" s="183" t="s">
        <v>179</v>
      </c>
      <c r="D46" s="183"/>
      <c r="E46" s="183"/>
      <c r="F46" s="183"/>
      <c r="G46" s="183"/>
      <c r="H46" s="183"/>
      <c r="I46" s="183"/>
      <c r="J46" s="183"/>
      <c r="K46" s="212"/>
    </row>
    <row r="47" spans="2:11" x14ac:dyDescent="0.3">
      <c r="B47" s="211"/>
      <c r="C47" s="183" t="s">
        <v>271</v>
      </c>
      <c r="D47" s="183"/>
      <c r="E47" s="183"/>
      <c r="F47" s="183"/>
      <c r="G47" s="183"/>
      <c r="H47" s="183"/>
      <c r="I47" s="183" t="s">
        <v>430</v>
      </c>
      <c r="J47" s="187">
        <f>G48/3</f>
        <v>2.1666666666666665</v>
      </c>
      <c r="K47" s="212" t="s">
        <v>20</v>
      </c>
    </row>
    <row r="48" spans="2:11" x14ac:dyDescent="0.3">
      <c r="B48" s="211"/>
      <c r="C48" s="213" t="s">
        <v>180</v>
      </c>
      <c r="D48" s="214">
        <f>D44-E16/2</f>
        <v>0.28815973248354609</v>
      </c>
      <c r="E48" s="213" t="s">
        <v>20</v>
      </c>
      <c r="F48" s="213" t="s">
        <v>272</v>
      </c>
      <c r="G48" s="214">
        <f>E16</f>
        <v>6.5</v>
      </c>
      <c r="H48" s="213" t="s">
        <v>20</v>
      </c>
      <c r="I48" s="215" t="s">
        <v>201</v>
      </c>
      <c r="J48" s="187">
        <f>2/3*G48</f>
        <v>4.333333333333333</v>
      </c>
      <c r="K48" s="212" t="s">
        <v>20</v>
      </c>
    </row>
    <row r="49" spans="2:12" x14ac:dyDescent="0.3">
      <c r="B49" s="216"/>
      <c r="C49" s="217" t="s">
        <v>181</v>
      </c>
      <c r="D49" s="217"/>
      <c r="E49" s="217"/>
      <c r="F49" s="217"/>
      <c r="G49" s="218">
        <f>2/3*$G$48</f>
        <v>4.333333333333333</v>
      </c>
      <c r="H49" s="218" t="s">
        <v>20</v>
      </c>
      <c r="I49" s="217" t="s">
        <v>202</v>
      </c>
      <c r="J49" s="218">
        <f>3/3*G48</f>
        <v>6.5</v>
      </c>
      <c r="K49" s="219" t="s">
        <v>20</v>
      </c>
    </row>
    <row r="50" spans="2:12" x14ac:dyDescent="0.3">
      <c r="C50" s="220"/>
      <c r="H50" s="221"/>
    </row>
    <row r="51" spans="2:12" x14ac:dyDescent="0.3">
      <c r="B51" s="213" t="s">
        <v>55</v>
      </c>
      <c r="C51" s="419" t="s">
        <v>182</v>
      </c>
      <c r="D51" s="419"/>
      <c r="E51" s="419"/>
      <c r="F51" s="419"/>
      <c r="G51" s="419"/>
      <c r="H51" s="419"/>
      <c r="I51" s="419"/>
      <c r="J51" s="419"/>
      <c r="K51" s="419"/>
    </row>
    <row r="52" spans="2:12" x14ac:dyDescent="0.3">
      <c r="B52" s="222"/>
      <c r="C52" s="182"/>
      <c r="D52" s="182"/>
      <c r="E52" s="182"/>
      <c r="F52" s="182"/>
      <c r="G52" s="182"/>
      <c r="H52" s="182"/>
      <c r="I52" s="182"/>
      <c r="J52" s="182"/>
      <c r="K52" s="223"/>
      <c r="L52" s="224"/>
    </row>
    <row r="53" spans="2:12" x14ac:dyDescent="0.3">
      <c r="B53" s="222"/>
      <c r="C53" s="225" t="s">
        <v>183</v>
      </c>
      <c r="D53" s="225" t="s">
        <v>184</v>
      </c>
      <c r="E53" s="225" t="s">
        <v>132</v>
      </c>
      <c r="F53" s="225" t="s">
        <v>185</v>
      </c>
      <c r="G53" s="225" t="s">
        <v>135</v>
      </c>
      <c r="H53" s="182"/>
      <c r="I53" s="182"/>
      <c r="J53" s="182"/>
      <c r="K53" s="223"/>
      <c r="L53" s="224"/>
    </row>
    <row r="54" spans="2:12" x14ac:dyDescent="0.3">
      <c r="B54" s="222"/>
      <c r="C54" s="226" t="s">
        <v>186</v>
      </c>
      <c r="D54" s="227">
        <f>D22</f>
        <v>28.73</v>
      </c>
      <c r="E54" s="227">
        <f>E22</f>
        <v>68.951999999999998</v>
      </c>
      <c r="F54" s="227">
        <f>E24</f>
        <v>3.4266511064718079</v>
      </c>
      <c r="G54" s="227">
        <f>E54*F54</f>
        <v>236.27444709344408</v>
      </c>
      <c r="H54" s="182"/>
      <c r="I54" s="182"/>
      <c r="J54" s="182"/>
      <c r="K54" s="223"/>
      <c r="L54" s="224"/>
    </row>
    <row r="55" spans="2:12" x14ac:dyDescent="0.3">
      <c r="B55" s="222"/>
      <c r="C55" s="226" t="s">
        <v>187</v>
      </c>
      <c r="D55" s="227">
        <f>B62*C60</f>
        <v>2.7481589425935899</v>
      </c>
      <c r="E55" s="227">
        <f>D55*1</f>
        <v>2.7481589425935899</v>
      </c>
      <c r="F55" s="227">
        <f>C69-C60/2</f>
        <v>5.8755830421206907</v>
      </c>
      <c r="G55" s="227">
        <f>E55*F55</f>
        <v>16.147036080155225</v>
      </c>
      <c r="H55" s="182"/>
      <c r="I55" s="182"/>
      <c r="J55" s="182"/>
      <c r="K55" s="223"/>
      <c r="L55" s="224"/>
    </row>
    <row r="56" spans="2:12" x14ac:dyDescent="0.3">
      <c r="B56" s="222"/>
      <c r="C56" s="226" t="s">
        <v>188</v>
      </c>
      <c r="D56" s="227">
        <f>(B62+E66)/2*D60</f>
        <v>6.0286729288798071</v>
      </c>
      <c r="E56" s="227">
        <f>D56*1</f>
        <v>6.0286729288798071</v>
      </c>
      <c r="F56" s="227">
        <f>D67+D60/2</f>
        <v>3.25</v>
      </c>
      <c r="G56" s="227">
        <f>E56*F56</f>
        <v>19.593187018859375</v>
      </c>
      <c r="H56" s="182"/>
      <c r="I56" s="182"/>
      <c r="J56" s="182"/>
      <c r="K56" s="223"/>
      <c r="L56" s="224"/>
    </row>
    <row r="57" spans="2:12" x14ac:dyDescent="0.3">
      <c r="B57" s="222"/>
      <c r="C57" s="226" t="s">
        <v>5</v>
      </c>
      <c r="D57" s="227">
        <f>D67*E66</f>
        <v>1.0140531395959986</v>
      </c>
      <c r="E57" s="227">
        <f>D57*1</f>
        <v>1.0140531395959986</v>
      </c>
      <c r="F57" s="227">
        <f>D67/2</f>
        <v>0.62441695787930951</v>
      </c>
      <c r="G57" s="227">
        <f>E57*F57</f>
        <v>0.63319197655449622</v>
      </c>
      <c r="H57" s="182"/>
      <c r="I57" s="182"/>
      <c r="J57" s="182"/>
      <c r="K57" s="223"/>
      <c r="L57" s="224"/>
    </row>
    <row r="58" spans="2:12" x14ac:dyDescent="0.3">
      <c r="B58" s="222"/>
      <c r="C58" s="225" t="s">
        <v>189</v>
      </c>
      <c r="D58" s="228">
        <f>SUM(D54:D57)</f>
        <v>38.520885011069396</v>
      </c>
      <c r="E58" s="228">
        <f>SUM(E54:E57)</f>
        <v>78.742885011069404</v>
      </c>
      <c r="F58" s="228"/>
      <c r="G58" s="228">
        <f>SUM(G54:G57)</f>
        <v>272.64786216901319</v>
      </c>
      <c r="H58" s="182"/>
      <c r="I58" s="182"/>
      <c r="J58" s="182"/>
      <c r="K58" s="223"/>
      <c r="L58" s="224"/>
    </row>
    <row r="59" spans="2:12" x14ac:dyDescent="0.3">
      <c r="B59" s="222"/>
      <c r="C59" s="182"/>
      <c r="D59" s="182"/>
      <c r="E59" s="182"/>
      <c r="F59" s="182"/>
      <c r="G59" s="182"/>
      <c r="H59" s="182"/>
      <c r="I59" s="182"/>
      <c r="J59" s="182"/>
      <c r="K59" s="223"/>
      <c r="L59" s="224"/>
    </row>
    <row r="60" spans="2:12" x14ac:dyDescent="0.3">
      <c r="B60" s="211"/>
      <c r="C60" s="188">
        <f>D6</f>
        <v>1.248833915758619</v>
      </c>
      <c r="D60" s="229">
        <f>E6</f>
        <v>4.002332168482762</v>
      </c>
      <c r="E60" s="183"/>
      <c r="F60" s="183"/>
      <c r="G60" s="183"/>
      <c r="H60" s="183"/>
      <c r="I60" s="183"/>
      <c r="J60" s="183"/>
      <c r="K60" s="212"/>
    </row>
    <row r="61" spans="2:12" x14ac:dyDescent="0.3">
      <c r="B61" s="211"/>
      <c r="C61" s="183"/>
      <c r="D61" s="183"/>
      <c r="E61" s="183"/>
      <c r="F61" s="183"/>
      <c r="G61" s="183"/>
      <c r="H61" s="183"/>
      <c r="I61" s="183"/>
      <c r="J61" s="183"/>
      <c r="K61" s="212"/>
    </row>
    <row r="62" spans="2:12" x14ac:dyDescent="0.3">
      <c r="B62" s="230">
        <f>'[1]DISEÑO HIDRAULICO'!C183</f>
        <v>2.2005800034059679</v>
      </c>
      <c r="C62" s="183" t="s">
        <v>274</v>
      </c>
      <c r="D62" s="183"/>
      <c r="E62" s="183"/>
      <c r="F62" s="183"/>
      <c r="G62" s="183"/>
      <c r="H62" s="183"/>
      <c r="I62" s="183"/>
      <c r="J62" s="183"/>
      <c r="K62" s="212"/>
    </row>
    <row r="63" spans="2:12" ht="12.75" customHeight="1" x14ac:dyDescent="0.3">
      <c r="B63" s="211"/>
      <c r="C63" s="183"/>
      <c r="D63" s="183"/>
      <c r="E63" s="183"/>
      <c r="F63" s="183"/>
      <c r="G63" s="214">
        <f>G58/E58</f>
        <v>3.4625079095169715</v>
      </c>
      <c r="H63" s="214" t="s">
        <v>20</v>
      </c>
      <c r="I63" s="183"/>
      <c r="J63" s="183"/>
      <c r="K63" s="212"/>
    </row>
    <row r="64" spans="2:12" x14ac:dyDescent="0.3">
      <c r="B64" s="211"/>
      <c r="C64" s="183" t="s">
        <v>190</v>
      </c>
      <c r="D64" s="183"/>
      <c r="E64" s="183"/>
      <c r="F64" s="183"/>
      <c r="G64" s="183"/>
      <c r="H64" s="183"/>
      <c r="I64" s="183"/>
      <c r="J64" s="183"/>
      <c r="K64" s="212"/>
    </row>
    <row r="65" spans="2:11" x14ac:dyDescent="0.3">
      <c r="B65" s="211"/>
      <c r="C65" s="183"/>
      <c r="D65" s="183"/>
      <c r="E65" s="183"/>
      <c r="F65" s="183"/>
      <c r="G65" s="183"/>
      <c r="H65" s="183"/>
      <c r="I65" s="183"/>
      <c r="J65" s="183"/>
      <c r="K65" s="212"/>
    </row>
    <row r="66" spans="2:11" x14ac:dyDescent="0.3">
      <c r="B66" s="211"/>
      <c r="C66" s="183"/>
      <c r="D66" s="195" t="s">
        <v>273</v>
      </c>
      <c r="E66" s="229">
        <f>'[1]DISEÑO HIDRAULICO'!C226</f>
        <v>0.81200000000000006</v>
      </c>
      <c r="F66" s="183"/>
      <c r="G66" s="183"/>
      <c r="H66" s="183"/>
      <c r="I66" s="183"/>
      <c r="J66" s="183"/>
      <c r="K66" s="212"/>
    </row>
    <row r="67" spans="2:11" x14ac:dyDescent="0.3">
      <c r="B67" s="211"/>
      <c r="C67" s="183"/>
      <c r="D67" s="188">
        <f>F12</f>
        <v>1.248833915758619</v>
      </c>
      <c r="E67" s="192" t="s">
        <v>243</v>
      </c>
      <c r="F67" s="192"/>
      <c r="G67" s="183"/>
      <c r="H67" s="183"/>
      <c r="I67" s="183"/>
      <c r="J67" s="183"/>
      <c r="K67" s="212"/>
    </row>
    <row r="68" spans="2:11" x14ac:dyDescent="0.3">
      <c r="B68" s="211"/>
      <c r="C68" s="183"/>
      <c r="D68" s="183"/>
      <c r="E68" s="183"/>
      <c r="F68" s="183"/>
      <c r="G68" s="183"/>
      <c r="H68" s="183"/>
      <c r="I68" s="183"/>
      <c r="J68" s="183"/>
      <c r="K68" s="212"/>
    </row>
    <row r="69" spans="2:11" x14ac:dyDescent="0.3">
      <c r="B69" s="216"/>
      <c r="C69" s="218">
        <f>E16</f>
        <v>6.5</v>
      </c>
      <c r="D69" s="217"/>
      <c r="E69" s="217"/>
      <c r="F69" s="217"/>
      <c r="G69" s="217"/>
      <c r="H69" s="217"/>
      <c r="I69" s="217"/>
      <c r="J69" s="217"/>
      <c r="K69" s="219"/>
    </row>
    <row r="71" spans="2:11" x14ac:dyDescent="0.3">
      <c r="B71" s="231" t="s">
        <v>191</v>
      </c>
      <c r="C71" s="420" t="s">
        <v>192</v>
      </c>
      <c r="D71" s="420"/>
      <c r="E71" s="420"/>
      <c r="F71" s="420"/>
      <c r="G71" s="420"/>
      <c r="H71" s="421"/>
    </row>
    <row r="72" spans="2:11" x14ac:dyDescent="0.3">
      <c r="B72" s="232"/>
      <c r="C72" s="233" t="s">
        <v>194</v>
      </c>
      <c r="D72" s="233"/>
      <c r="E72" s="233"/>
      <c r="F72" s="233" t="s">
        <v>195</v>
      </c>
      <c r="G72" s="234">
        <f>1*C85</f>
        <v>6.0128406917265691</v>
      </c>
      <c r="H72" s="235" t="s">
        <v>200</v>
      </c>
    </row>
    <row r="73" spans="2:11" x14ac:dyDescent="0.3">
      <c r="B73" s="232"/>
      <c r="C73" s="233" t="s">
        <v>196</v>
      </c>
      <c r="D73" s="233"/>
      <c r="E73" s="233"/>
      <c r="F73" s="233" t="s">
        <v>197</v>
      </c>
      <c r="G73" s="234">
        <f>1*E84</f>
        <v>2.4</v>
      </c>
      <c r="H73" s="235" t="s">
        <v>200</v>
      </c>
    </row>
    <row r="74" spans="2:11" x14ac:dyDescent="0.3">
      <c r="B74" s="232"/>
      <c r="C74" s="233"/>
      <c r="D74" s="233"/>
      <c r="E74" s="233"/>
      <c r="F74" s="233"/>
      <c r="G74" s="234"/>
      <c r="H74" s="235"/>
    </row>
    <row r="75" spans="2:11" x14ac:dyDescent="0.3">
      <c r="B75" s="232"/>
      <c r="C75" s="233"/>
      <c r="D75" s="233"/>
      <c r="E75" s="233"/>
      <c r="F75" s="233"/>
      <c r="G75" s="234"/>
      <c r="H75" s="235"/>
    </row>
    <row r="76" spans="2:11" x14ac:dyDescent="0.3">
      <c r="B76" s="232"/>
      <c r="C76" s="236" t="s">
        <v>183</v>
      </c>
      <c r="D76" s="236" t="s">
        <v>184</v>
      </c>
      <c r="E76" s="236" t="s">
        <v>4</v>
      </c>
      <c r="F76" s="236" t="s">
        <v>198</v>
      </c>
      <c r="G76" s="236" t="s">
        <v>199</v>
      </c>
      <c r="H76" s="235"/>
    </row>
    <row r="77" spans="2:11" x14ac:dyDescent="0.3">
      <c r="B77" s="232"/>
      <c r="C77" s="237" t="s">
        <v>2</v>
      </c>
      <c r="D77" s="238">
        <f>E84*C82</f>
        <v>15.6</v>
      </c>
      <c r="E77" s="238">
        <f>D77*1</f>
        <v>15.6</v>
      </c>
      <c r="F77" s="238">
        <f>C82/2</f>
        <v>3.25</v>
      </c>
      <c r="G77" s="238">
        <f>E77*F77</f>
        <v>50.699999999999996</v>
      </c>
      <c r="H77" s="235"/>
    </row>
    <row r="78" spans="2:11" x14ac:dyDescent="0.3">
      <c r="B78" s="232"/>
      <c r="C78" s="237" t="s">
        <v>3</v>
      </c>
      <c r="D78" s="238">
        <f>E86*C82*0.5</f>
        <v>11.741732248111349</v>
      </c>
      <c r="E78" s="238">
        <f>D78*1</f>
        <v>11.741732248111349</v>
      </c>
      <c r="F78" s="238">
        <f>2/3*C82</f>
        <v>4.333333333333333</v>
      </c>
      <c r="G78" s="238">
        <f>E78*F78</f>
        <v>50.880839741815841</v>
      </c>
      <c r="H78" s="235"/>
    </row>
    <row r="79" spans="2:11" x14ac:dyDescent="0.3">
      <c r="B79" s="232"/>
      <c r="C79" s="236" t="s">
        <v>189</v>
      </c>
      <c r="D79" s="239"/>
      <c r="E79" s="239">
        <f>SUM(E77:E78)</f>
        <v>27.341732248111349</v>
      </c>
      <c r="F79" s="239"/>
      <c r="G79" s="239">
        <f>SUM(G77:G78)</f>
        <v>101.58083974181584</v>
      </c>
      <c r="H79" s="235"/>
    </row>
    <row r="80" spans="2:11" x14ac:dyDescent="0.3">
      <c r="B80" s="232"/>
      <c r="C80" s="233"/>
      <c r="D80" s="233"/>
      <c r="E80" s="233"/>
      <c r="F80" s="233"/>
      <c r="G80" s="234"/>
      <c r="H80" s="235"/>
    </row>
    <row r="81" spans="2:11" x14ac:dyDescent="0.3">
      <c r="B81" s="240"/>
      <c r="C81" s="233"/>
      <c r="D81" s="233"/>
      <c r="E81" s="233"/>
      <c r="F81" s="233"/>
      <c r="G81" s="233"/>
      <c r="H81" s="235"/>
    </row>
    <row r="82" spans="2:11" x14ac:dyDescent="0.3">
      <c r="B82" s="240"/>
      <c r="C82" s="234">
        <f>C69</f>
        <v>6.5</v>
      </c>
      <c r="D82" s="233"/>
      <c r="E82" s="233"/>
      <c r="F82" s="233"/>
      <c r="G82" s="233"/>
      <c r="H82" s="235"/>
    </row>
    <row r="83" spans="2:11" x14ac:dyDescent="0.3">
      <c r="B83" s="240"/>
      <c r="C83" s="233"/>
      <c r="D83" s="233"/>
      <c r="E83" s="233" t="s">
        <v>280</v>
      </c>
      <c r="F83" s="233"/>
      <c r="G83" s="233"/>
      <c r="H83" s="235"/>
    </row>
    <row r="84" spans="2:11" x14ac:dyDescent="0.3">
      <c r="B84" s="240"/>
      <c r="C84" s="233"/>
      <c r="D84" s="233" t="s">
        <v>2</v>
      </c>
      <c r="E84" s="241">
        <f>0.5+'DISEÑO HIDRAULICO'!D182</f>
        <v>2.4</v>
      </c>
      <c r="F84" s="233"/>
      <c r="G84" s="233"/>
      <c r="H84" s="235"/>
    </row>
    <row r="85" spans="2:11" x14ac:dyDescent="0.3">
      <c r="B85" s="240" t="s">
        <v>276</v>
      </c>
      <c r="C85" s="241">
        <f>0.5+'DISEÑO HIDRAULICO'!D147+'DISEÑO HIDRAULICO'!D105</f>
        <v>6.0128406917265691</v>
      </c>
      <c r="D85" s="233"/>
      <c r="E85" s="233"/>
      <c r="F85" s="233"/>
      <c r="G85" s="214">
        <f>G79/E79</f>
        <v>3.7152305793950786</v>
      </c>
      <c r="H85" s="214" t="s">
        <v>20</v>
      </c>
    </row>
    <row r="86" spans="2:11" x14ac:dyDescent="0.3">
      <c r="B86" s="240"/>
      <c r="C86" s="242" t="s">
        <v>193</v>
      </c>
      <c r="D86" s="233"/>
      <c r="E86" s="241">
        <f>C85-E84</f>
        <v>3.6128406917265692</v>
      </c>
      <c r="F86" s="243"/>
      <c r="G86" s="244"/>
      <c r="H86" s="245"/>
      <c r="I86" s="246"/>
      <c r="J86" s="246"/>
      <c r="K86" s="183"/>
    </row>
    <row r="87" spans="2:11" x14ac:dyDescent="0.3">
      <c r="B87" s="240"/>
      <c r="C87" s="242"/>
      <c r="D87" s="233"/>
      <c r="E87" s="233"/>
      <c r="F87" s="233"/>
      <c r="G87" s="233"/>
      <c r="H87" s="235"/>
    </row>
    <row r="88" spans="2:11" x14ac:dyDescent="0.3">
      <c r="B88" s="240"/>
      <c r="C88" s="242"/>
      <c r="D88" s="233"/>
      <c r="E88" s="233"/>
      <c r="F88" s="233"/>
      <c r="G88" s="233"/>
      <c r="H88" s="235"/>
      <c r="I88" s="221"/>
      <c r="J88" s="221"/>
    </row>
    <row r="89" spans="2:11" x14ac:dyDescent="0.3">
      <c r="B89" s="247"/>
      <c r="C89" s="248" t="s">
        <v>203</v>
      </c>
      <c r="D89" s="248"/>
      <c r="E89" s="248"/>
      <c r="F89" s="248"/>
      <c r="G89" s="248"/>
      <c r="H89" s="249"/>
    </row>
    <row r="91" spans="2:11" x14ac:dyDescent="0.3">
      <c r="B91" s="213" t="s">
        <v>68</v>
      </c>
      <c r="C91" s="411" t="s">
        <v>215</v>
      </c>
      <c r="D91" s="411"/>
      <c r="E91" s="411"/>
      <c r="F91" s="411"/>
      <c r="G91" s="411"/>
      <c r="H91" s="411"/>
      <c r="I91" s="411"/>
    </row>
    <row r="92" spans="2:11" x14ac:dyDescent="0.3">
      <c r="B92" s="250" t="s">
        <v>214</v>
      </c>
      <c r="C92" s="250" t="s">
        <v>216</v>
      </c>
      <c r="D92" s="250"/>
      <c r="E92" s="250"/>
      <c r="F92" s="183"/>
      <c r="G92" s="183"/>
      <c r="H92" s="183"/>
      <c r="I92" s="212"/>
    </row>
    <row r="93" spans="2:11" x14ac:dyDescent="0.3">
      <c r="B93" s="211"/>
      <c r="C93" s="183" t="s">
        <v>204</v>
      </c>
      <c r="D93" s="183"/>
      <c r="E93" s="183"/>
      <c r="F93" s="183"/>
      <c r="G93" s="183"/>
      <c r="H93" s="183"/>
      <c r="I93" s="212"/>
    </row>
    <row r="94" spans="2:11" x14ac:dyDescent="0.3">
      <c r="B94" s="211"/>
      <c r="C94" s="183"/>
      <c r="D94" s="183"/>
      <c r="E94" s="183"/>
      <c r="F94" s="183"/>
      <c r="G94" s="183"/>
      <c r="H94" s="183"/>
      <c r="I94" s="212"/>
    </row>
    <row r="95" spans="2:11" x14ac:dyDescent="0.3">
      <c r="B95" s="211"/>
      <c r="C95" s="183"/>
      <c r="D95" s="183"/>
      <c r="E95" s="183"/>
      <c r="F95" s="183"/>
      <c r="G95" s="183" t="s">
        <v>278</v>
      </c>
      <c r="H95" s="183"/>
      <c r="I95" s="212"/>
    </row>
    <row r="96" spans="2:11" x14ac:dyDescent="0.3">
      <c r="B96" s="211"/>
      <c r="C96" s="183" t="s">
        <v>525</v>
      </c>
      <c r="D96" s="187">
        <f>0.5*1*C85*C85</f>
        <v>18.077126592041424</v>
      </c>
      <c r="E96" s="183" t="s">
        <v>168</v>
      </c>
      <c r="F96" s="183"/>
      <c r="G96" s="183" t="s">
        <v>279</v>
      </c>
      <c r="H96" s="183"/>
      <c r="I96" s="212"/>
    </row>
    <row r="97" spans="2:9" x14ac:dyDescent="0.3">
      <c r="B97" s="211"/>
      <c r="C97" s="183"/>
      <c r="D97" s="183"/>
      <c r="E97" s="183"/>
      <c r="F97" s="183"/>
      <c r="G97" s="183"/>
      <c r="H97" s="183"/>
      <c r="I97" s="212"/>
    </row>
    <row r="98" spans="2:9" x14ac:dyDescent="0.3">
      <c r="B98" s="211"/>
      <c r="C98" s="182" t="s">
        <v>205</v>
      </c>
      <c r="D98" s="182"/>
      <c r="E98" s="183"/>
      <c r="F98" s="183"/>
      <c r="G98" s="183"/>
      <c r="H98" s="183"/>
      <c r="I98" s="212"/>
    </row>
    <row r="99" spans="2:9" x14ac:dyDescent="0.3">
      <c r="B99" s="211"/>
      <c r="C99" s="183" t="s">
        <v>207</v>
      </c>
      <c r="D99" s="183"/>
      <c r="E99" s="183" t="s">
        <v>206</v>
      </c>
      <c r="F99" s="183"/>
      <c r="G99" s="183"/>
      <c r="H99" s="183"/>
      <c r="I99" s="212"/>
    </row>
    <row r="100" spans="2:9" x14ac:dyDescent="0.3">
      <c r="B100" s="211"/>
      <c r="C100" s="183" t="s">
        <v>526</v>
      </c>
      <c r="D100" s="183"/>
      <c r="E100" s="183"/>
      <c r="F100" s="183"/>
      <c r="G100" s="183"/>
      <c r="H100" s="183"/>
      <c r="I100" s="212"/>
    </row>
    <row r="101" spans="2:9" x14ac:dyDescent="0.3">
      <c r="B101" s="211"/>
      <c r="C101" s="183" t="s">
        <v>527</v>
      </c>
      <c r="D101" s="187">
        <f>0.05*E22</f>
        <v>3.4476</v>
      </c>
      <c r="E101" s="183" t="s">
        <v>168</v>
      </c>
      <c r="F101" s="183"/>
      <c r="G101" s="183"/>
      <c r="H101" s="183"/>
      <c r="I101" s="212"/>
    </row>
    <row r="102" spans="2:9" x14ac:dyDescent="0.3">
      <c r="B102" s="211"/>
      <c r="C102" s="183"/>
      <c r="D102" s="183"/>
      <c r="E102" s="183"/>
      <c r="F102" s="183"/>
      <c r="G102" s="183"/>
      <c r="H102" s="183"/>
      <c r="I102" s="212"/>
    </row>
    <row r="103" spans="2:9" x14ac:dyDescent="0.3">
      <c r="B103" s="211"/>
      <c r="C103" s="182" t="s">
        <v>223</v>
      </c>
      <c r="D103" s="182"/>
      <c r="E103" s="183"/>
      <c r="F103" s="183"/>
      <c r="G103" s="183"/>
      <c r="H103" s="183"/>
      <c r="I103" s="212"/>
    </row>
    <row r="104" spans="2:9" x14ac:dyDescent="0.3">
      <c r="B104" s="211"/>
      <c r="C104" s="183"/>
      <c r="D104" s="183"/>
      <c r="E104" s="251" t="s">
        <v>208</v>
      </c>
      <c r="F104" s="252">
        <v>1.8</v>
      </c>
      <c r="G104" s="252" t="s">
        <v>209</v>
      </c>
      <c r="H104" s="251" t="s">
        <v>210</v>
      </c>
      <c r="I104" s="212"/>
    </row>
    <row r="105" spans="2:9" x14ac:dyDescent="0.3">
      <c r="B105" s="211"/>
      <c r="C105" s="183"/>
      <c r="D105" s="183"/>
      <c r="E105" s="251" t="s">
        <v>208</v>
      </c>
      <c r="F105" s="252">
        <f>F104-1</f>
        <v>0.8</v>
      </c>
      <c r="G105" s="252" t="s">
        <v>209</v>
      </c>
      <c r="H105" s="251" t="s">
        <v>211</v>
      </c>
      <c r="I105" s="212"/>
    </row>
    <row r="106" spans="2:9" x14ac:dyDescent="0.3">
      <c r="B106" s="211"/>
      <c r="C106" s="183" t="s">
        <v>277</v>
      </c>
      <c r="D106" s="183"/>
      <c r="E106" s="251" t="s">
        <v>212</v>
      </c>
      <c r="F106" s="252">
        <v>0.65</v>
      </c>
      <c r="G106" s="252"/>
      <c r="H106" s="251" t="s">
        <v>213</v>
      </c>
      <c r="I106" s="212"/>
    </row>
    <row r="107" spans="2:9" x14ac:dyDescent="0.3">
      <c r="B107" s="211"/>
      <c r="C107" s="183"/>
      <c r="D107" s="183"/>
      <c r="E107" s="183"/>
      <c r="F107" s="183"/>
      <c r="G107" s="183"/>
      <c r="H107" s="183"/>
      <c r="I107" s="212"/>
    </row>
    <row r="108" spans="2:9" x14ac:dyDescent="0.3">
      <c r="B108" s="211"/>
      <c r="C108" s="183" t="s">
        <v>528</v>
      </c>
      <c r="D108" s="187">
        <f>0.5*F106*F105*(C10/3)*(C10/3)</f>
        <v>3.4955555555555552E-2</v>
      </c>
      <c r="E108" s="183" t="s">
        <v>168</v>
      </c>
      <c r="F108" s="183"/>
      <c r="G108" s="183"/>
      <c r="H108" s="183"/>
      <c r="I108" s="212"/>
    </row>
    <row r="109" spans="2:9" x14ac:dyDescent="0.3">
      <c r="B109" s="211"/>
      <c r="C109" s="183"/>
      <c r="D109" s="183"/>
      <c r="E109" s="183"/>
      <c r="F109" s="183"/>
      <c r="G109" s="183"/>
      <c r="H109" s="183"/>
      <c r="I109" s="212"/>
    </row>
    <row r="110" spans="2:9" ht="14.25" customHeight="1" x14ac:dyDescent="0.3">
      <c r="B110" s="211"/>
      <c r="C110" s="413" t="s">
        <v>217</v>
      </c>
      <c r="D110" s="413"/>
      <c r="E110" s="253" t="s">
        <v>225</v>
      </c>
      <c r="F110" s="253" t="s">
        <v>226</v>
      </c>
      <c r="G110" s="253" t="s">
        <v>227</v>
      </c>
      <c r="H110" s="253" t="s">
        <v>228</v>
      </c>
      <c r="I110" s="253" t="s">
        <v>229</v>
      </c>
    </row>
    <row r="111" spans="2:9" x14ac:dyDescent="0.3">
      <c r="B111" s="211"/>
      <c r="C111" s="412" t="s">
        <v>219</v>
      </c>
      <c r="D111" s="412"/>
      <c r="E111" s="254">
        <f>E58</f>
        <v>78.742885011069404</v>
      </c>
      <c r="F111" s="254">
        <f>G63</f>
        <v>3.4625079095169715</v>
      </c>
      <c r="G111" s="255"/>
      <c r="H111" s="254">
        <f>E111*F111</f>
        <v>272.64786216901319</v>
      </c>
      <c r="I111" s="254"/>
    </row>
    <row r="112" spans="2:9" x14ac:dyDescent="0.3">
      <c r="B112" s="211"/>
      <c r="C112" s="412" t="s">
        <v>218</v>
      </c>
      <c r="D112" s="412"/>
      <c r="E112" s="254">
        <f>E79</f>
        <v>27.341732248111349</v>
      </c>
      <c r="F112" s="254">
        <f>G85</f>
        <v>3.7152305793950786</v>
      </c>
      <c r="G112" s="255"/>
      <c r="H112" s="254"/>
      <c r="I112" s="254">
        <f>E112*F112</f>
        <v>101.58083974181584</v>
      </c>
    </row>
    <row r="113" spans="2:9" x14ac:dyDescent="0.3">
      <c r="B113" s="211"/>
      <c r="C113" s="412" t="s">
        <v>220</v>
      </c>
      <c r="D113" s="412"/>
      <c r="E113" s="254">
        <f>D96</f>
        <v>18.077126592041424</v>
      </c>
      <c r="F113" s="254"/>
      <c r="G113" s="256">
        <f>1/3*C85</f>
        <v>2.0042802305755227</v>
      </c>
      <c r="H113" s="254"/>
      <c r="I113" s="254">
        <f>E113*G113</f>
        <v>36.231627454039696</v>
      </c>
    </row>
    <row r="114" spans="2:9" x14ac:dyDescent="0.3">
      <c r="B114" s="211"/>
      <c r="C114" s="412" t="s">
        <v>221</v>
      </c>
      <c r="D114" s="412"/>
      <c r="E114" s="254">
        <f>D101</f>
        <v>3.4476</v>
      </c>
      <c r="F114" s="254"/>
      <c r="G114" s="256">
        <f>4/3*C85/3.1416</f>
        <v>2.5519228807938918</v>
      </c>
      <c r="H114" s="254"/>
      <c r="I114" s="254">
        <f>E114*G114</f>
        <v>8.7980093238250223</v>
      </c>
    </row>
    <row r="115" spans="2:9" x14ac:dyDescent="0.3">
      <c r="B115" s="211"/>
      <c r="C115" s="412" t="s">
        <v>222</v>
      </c>
      <c r="D115" s="412"/>
      <c r="E115" s="254">
        <f>D108</f>
        <v>3.4955555555555552E-2</v>
      </c>
      <c r="F115" s="254"/>
      <c r="G115" s="256">
        <f>1/3*D14</f>
        <v>1.29</v>
      </c>
      <c r="H115" s="254"/>
      <c r="I115" s="254">
        <f>E115*G115</f>
        <v>4.5092666666666663E-2</v>
      </c>
    </row>
    <row r="116" spans="2:9" x14ac:dyDescent="0.3">
      <c r="B116" s="211"/>
      <c r="C116" s="413" t="s">
        <v>224</v>
      </c>
      <c r="D116" s="413"/>
      <c r="E116" s="257"/>
      <c r="F116" s="257"/>
      <c r="G116" s="258"/>
      <c r="H116" s="257">
        <f>SUM(H111:H115)</f>
        <v>272.64786216901319</v>
      </c>
      <c r="I116" s="257">
        <f>SUM(I111:I115)</f>
        <v>146.65556918634724</v>
      </c>
    </row>
    <row r="117" spans="2:9" x14ac:dyDescent="0.3">
      <c r="B117" s="211"/>
      <c r="C117" s="183"/>
      <c r="D117" s="183"/>
      <c r="E117" s="183"/>
      <c r="F117" s="183"/>
      <c r="G117" s="183"/>
      <c r="H117" s="183"/>
      <c r="I117" s="212"/>
    </row>
    <row r="118" spans="2:9" x14ac:dyDescent="0.3">
      <c r="B118" s="211"/>
      <c r="C118" s="183"/>
      <c r="D118" s="183"/>
      <c r="E118" s="259">
        <f>H116/I116</f>
        <v>1.8591033649910316</v>
      </c>
      <c r="F118" s="260" t="s">
        <v>235</v>
      </c>
      <c r="G118" s="213" t="s">
        <v>63</v>
      </c>
      <c r="H118" s="214">
        <f>(I113+I114+I115)/(E113+E114+E115)</f>
        <v>2.0906954534835465</v>
      </c>
      <c r="I118" s="213" t="s">
        <v>20</v>
      </c>
    </row>
    <row r="119" spans="2:9" x14ac:dyDescent="0.3">
      <c r="B119" s="211"/>
      <c r="C119" s="183"/>
      <c r="D119" s="183"/>
      <c r="E119" s="183"/>
      <c r="F119" s="183"/>
      <c r="G119" s="183"/>
      <c r="H119" s="183"/>
      <c r="I119" s="261"/>
    </row>
    <row r="120" spans="2:9" x14ac:dyDescent="0.3">
      <c r="B120" s="232" t="s">
        <v>230</v>
      </c>
      <c r="C120" s="192" t="s">
        <v>231</v>
      </c>
      <c r="D120" s="192"/>
      <c r="E120" s="192"/>
      <c r="F120" s="183"/>
      <c r="G120" s="183"/>
      <c r="H120" s="183"/>
      <c r="I120" s="212"/>
    </row>
    <row r="121" spans="2:9" x14ac:dyDescent="0.3">
      <c r="B121" s="211"/>
      <c r="C121" s="183" t="s">
        <v>232</v>
      </c>
      <c r="D121" s="183"/>
      <c r="E121" s="183" t="s">
        <v>282</v>
      </c>
      <c r="F121" s="187">
        <f>E58</f>
        <v>78.742885011069404</v>
      </c>
      <c r="G121" s="183" t="s">
        <v>168</v>
      </c>
      <c r="H121" s="183" t="s">
        <v>281</v>
      </c>
      <c r="I121" s="212"/>
    </row>
    <row r="122" spans="2:9" x14ac:dyDescent="0.3">
      <c r="B122" s="211"/>
      <c r="C122" s="183" t="s">
        <v>233</v>
      </c>
      <c r="D122" s="183"/>
      <c r="E122" s="183" t="s">
        <v>523</v>
      </c>
      <c r="F122" s="187">
        <f>I122*F121</f>
        <v>47.245731006641641</v>
      </c>
      <c r="G122" s="183" t="s">
        <v>168</v>
      </c>
      <c r="H122" s="183" t="s">
        <v>524</v>
      </c>
      <c r="I122" s="212">
        <v>0.6</v>
      </c>
    </row>
    <row r="123" spans="2:9" x14ac:dyDescent="0.3">
      <c r="B123" s="211"/>
      <c r="C123" s="183" t="s">
        <v>234</v>
      </c>
      <c r="D123" s="183"/>
      <c r="E123" s="183" t="s">
        <v>283</v>
      </c>
      <c r="F123" s="187">
        <f>D96+D101+D108</f>
        <v>21.55968214759698</v>
      </c>
      <c r="G123" s="183" t="s">
        <v>168</v>
      </c>
      <c r="H123" s="183"/>
      <c r="I123" s="212"/>
    </row>
    <row r="124" spans="2:9" x14ac:dyDescent="0.3">
      <c r="B124" s="211"/>
      <c r="C124" s="183"/>
      <c r="D124" s="183"/>
      <c r="E124" s="183"/>
      <c r="F124" s="183"/>
      <c r="G124" s="183"/>
      <c r="H124" s="183"/>
      <c r="I124" s="212"/>
    </row>
    <row r="125" spans="2:9" x14ac:dyDescent="0.3">
      <c r="B125" s="211"/>
      <c r="C125" s="183"/>
      <c r="D125" s="183"/>
      <c r="E125" s="262">
        <f>F122/F123</f>
        <v>2.1913927433251885</v>
      </c>
      <c r="F125" s="263" t="s">
        <v>235</v>
      </c>
      <c r="G125" s="183"/>
      <c r="H125" s="183"/>
      <c r="I125" s="212"/>
    </row>
    <row r="126" spans="2:9" x14ac:dyDescent="0.3">
      <c r="B126" s="211"/>
      <c r="C126" s="183"/>
      <c r="D126" s="183"/>
      <c r="E126" s="183"/>
      <c r="F126" s="183"/>
      <c r="G126" s="183"/>
      <c r="H126" s="183"/>
      <c r="I126" s="212"/>
    </row>
    <row r="127" spans="2:9" x14ac:dyDescent="0.3">
      <c r="B127" s="211"/>
      <c r="C127" s="183"/>
      <c r="D127" s="183"/>
      <c r="E127" s="183"/>
      <c r="F127" s="183"/>
      <c r="G127" s="183"/>
      <c r="H127" s="183"/>
      <c r="I127" s="212"/>
    </row>
    <row r="128" spans="2:9" x14ac:dyDescent="0.3">
      <c r="B128" s="232" t="s">
        <v>236</v>
      </c>
      <c r="C128" s="192" t="s">
        <v>237</v>
      </c>
      <c r="D128" s="192"/>
      <c r="E128" s="192"/>
      <c r="F128" s="192"/>
      <c r="G128" s="183"/>
      <c r="H128" s="183"/>
      <c r="I128" s="212"/>
    </row>
    <row r="129" spans="2:9" x14ac:dyDescent="0.3">
      <c r="B129" s="211"/>
      <c r="C129" s="183" t="s">
        <v>238</v>
      </c>
      <c r="D129" s="183"/>
      <c r="E129" s="183"/>
      <c r="F129" s="183"/>
      <c r="G129" s="183"/>
      <c r="H129" s="183"/>
      <c r="I129" s="212"/>
    </row>
    <row r="130" spans="2:9" x14ac:dyDescent="0.3">
      <c r="B130" s="211"/>
      <c r="C130" s="183"/>
      <c r="D130" s="183"/>
      <c r="E130" s="183"/>
      <c r="F130" s="183"/>
      <c r="G130" s="183"/>
      <c r="H130" s="183"/>
      <c r="I130" s="212"/>
    </row>
    <row r="131" spans="2:9" x14ac:dyDescent="0.3">
      <c r="B131" s="211"/>
      <c r="C131" s="183"/>
      <c r="D131" s="183"/>
      <c r="E131" s="183"/>
      <c r="F131" s="183"/>
      <c r="G131" s="183"/>
      <c r="H131" s="183"/>
      <c r="I131" s="212"/>
    </row>
    <row r="132" spans="2:9" x14ac:dyDescent="0.3">
      <c r="B132" s="211"/>
      <c r="C132" s="183"/>
      <c r="D132" s="183"/>
      <c r="E132" s="183"/>
      <c r="F132" s="183"/>
      <c r="G132" s="183"/>
      <c r="H132" s="183"/>
      <c r="I132" s="212"/>
    </row>
    <row r="133" spans="2:9" x14ac:dyDescent="0.3">
      <c r="B133" s="211"/>
      <c r="C133" s="183"/>
      <c r="D133" s="183"/>
      <c r="E133" s="183"/>
      <c r="F133" s="183"/>
      <c r="G133" s="183"/>
      <c r="H133" s="183"/>
      <c r="I133" s="212"/>
    </row>
    <row r="134" spans="2:9" x14ac:dyDescent="0.3">
      <c r="B134" s="211"/>
      <c r="C134" s="183"/>
      <c r="D134" s="183"/>
      <c r="E134" s="183"/>
      <c r="F134" s="183"/>
      <c r="G134" s="183"/>
      <c r="H134" s="183"/>
      <c r="I134" s="212"/>
    </row>
    <row r="135" spans="2:9" x14ac:dyDescent="0.3">
      <c r="B135" s="211"/>
      <c r="C135" s="183"/>
      <c r="D135" s="183"/>
      <c r="E135" s="183"/>
      <c r="F135" s="183"/>
      <c r="G135" s="183"/>
      <c r="H135" s="183"/>
      <c r="I135" s="212"/>
    </row>
    <row r="136" spans="2:9" x14ac:dyDescent="0.3">
      <c r="B136" s="211"/>
      <c r="C136" s="183" t="s">
        <v>239</v>
      </c>
      <c r="D136" s="183"/>
      <c r="E136" s="183"/>
      <c r="F136" s="183"/>
      <c r="G136" s="183"/>
      <c r="H136" s="183"/>
      <c r="I136" s="212"/>
    </row>
    <row r="137" spans="2:9" x14ac:dyDescent="0.3">
      <c r="B137" s="211"/>
      <c r="C137" s="183"/>
      <c r="D137" s="183"/>
      <c r="E137" s="183"/>
      <c r="F137" s="183"/>
      <c r="G137" s="183"/>
      <c r="H137" s="183"/>
      <c r="I137" s="212"/>
    </row>
    <row r="138" spans="2:9" x14ac:dyDescent="0.3">
      <c r="B138" s="211"/>
      <c r="C138" s="264" t="s">
        <v>240</v>
      </c>
      <c r="D138" s="183" t="s">
        <v>17</v>
      </c>
      <c r="E138" s="183"/>
      <c r="F138" s="183" t="s">
        <v>284</v>
      </c>
      <c r="G138" s="183"/>
      <c r="H138" s="183"/>
      <c r="I138" s="212"/>
    </row>
    <row r="139" spans="2:9" x14ac:dyDescent="0.3">
      <c r="B139" s="211"/>
      <c r="C139" s="183" t="s">
        <v>241</v>
      </c>
      <c r="D139" s="187">
        <f>(E113+E114+E115)*H118/E58</f>
        <v>0.57242923520258293</v>
      </c>
      <c r="E139" s="183" t="s">
        <v>20</v>
      </c>
      <c r="F139" s="183"/>
      <c r="G139" s="183"/>
      <c r="H139" s="183"/>
      <c r="I139" s="212"/>
    </row>
    <row r="140" spans="2:9" x14ac:dyDescent="0.3">
      <c r="B140" s="211"/>
      <c r="C140" s="183"/>
      <c r="D140" s="183"/>
      <c r="E140" s="183"/>
      <c r="F140" s="183"/>
      <c r="G140" s="183"/>
      <c r="H140" s="183"/>
      <c r="I140" s="212"/>
    </row>
    <row r="141" spans="2:9" x14ac:dyDescent="0.3">
      <c r="B141" s="211"/>
      <c r="C141" s="183"/>
      <c r="D141" s="194" t="s">
        <v>89</v>
      </c>
      <c r="E141" s="187">
        <f>C82/2-(G63-D139)</f>
        <v>0.3599213256856113</v>
      </c>
      <c r="F141" s="183" t="s">
        <v>20</v>
      </c>
      <c r="G141" s="183"/>
      <c r="H141" s="183"/>
      <c r="I141" s="212"/>
    </row>
    <row r="142" spans="2:9" x14ac:dyDescent="0.3">
      <c r="B142" s="211"/>
      <c r="C142" s="183"/>
      <c r="D142" s="183"/>
      <c r="E142" s="183"/>
      <c r="F142" s="183"/>
      <c r="G142" s="183"/>
      <c r="H142" s="183"/>
      <c r="I142" s="212"/>
    </row>
    <row r="143" spans="2:9" x14ac:dyDescent="0.3">
      <c r="B143" s="211"/>
      <c r="C143" s="183"/>
      <c r="D143" s="183"/>
      <c r="E143" s="265">
        <f>E58/(C82*1)*(1+6*E141/C82)</f>
        <v>16.139081986767184</v>
      </c>
      <c r="F143" s="252" t="s">
        <v>200</v>
      </c>
      <c r="G143" s="183"/>
      <c r="H143" s="183"/>
      <c r="I143" s="212"/>
    </row>
    <row r="144" spans="2:9" x14ac:dyDescent="0.3">
      <c r="B144" s="211"/>
      <c r="C144" s="183"/>
      <c r="D144" s="183"/>
      <c r="E144" s="265">
        <f>E58/(C82*1)*(1-6*E141/C82)</f>
        <v>8.0894980166387835</v>
      </c>
      <c r="F144" s="252" t="s">
        <v>200</v>
      </c>
      <c r="G144" s="183"/>
      <c r="H144" s="183"/>
      <c r="I144" s="212"/>
    </row>
    <row r="145" spans="2:9" x14ac:dyDescent="0.3">
      <c r="B145" s="216"/>
      <c r="C145" s="266" t="s">
        <v>244</v>
      </c>
      <c r="D145" s="266"/>
      <c r="E145" s="266"/>
      <c r="F145" s="248"/>
      <c r="G145" s="217"/>
      <c r="H145" s="217"/>
      <c r="I145" s="219"/>
    </row>
  </sheetData>
  <mergeCells count="14">
    <mergeCell ref="C27:K27"/>
    <mergeCell ref="C91:I91"/>
    <mergeCell ref="C115:D115"/>
    <mergeCell ref="C116:D116"/>
    <mergeCell ref="B2:I2"/>
    <mergeCell ref="C4:I4"/>
    <mergeCell ref="C5:I5"/>
    <mergeCell ref="C51:K51"/>
    <mergeCell ref="C110:D110"/>
    <mergeCell ref="C111:D111"/>
    <mergeCell ref="C112:D112"/>
    <mergeCell ref="C113:D113"/>
    <mergeCell ref="C114:D114"/>
    <mergeCell ref="C71:H71"/>
  </mergeCells>
  <pageMargins left="0.75" right="0.75" top="1" bottom="1" header="0" footer="0"/>
  <pageSetup scale="90" orientation="portrait" horizontalDpi="360" verticalDpi="360" r:id="rId1"/>
  <headerFooter alignWithMargins="0"/>
  <rowBreaks count="2" manualBreakCount="2">
    <brk id="50" max="16383" man="1"/>
    <brk id="102" max="16383" man="1"/>
  </rowBreaks>
  <colBreaks count="1" manualBreakCount="1">
    <brk id="11" max="1048575" man="1"/>
  </colBreaks>
  <drawing r:id="rId2"/>
  <legacyDrawing r:id="rId3"/>
  <oleObjects>
    <mc:AlternateContent xmlns:mc="http://schemas.openxmlformats.org/markup-compatibility/2006">
      <mc:Choice Requires="x14">
        <oleObject progId="Equation.3" shapeId="66561" r:id="rId4">
          <objectPr defaultSize="0" autoPict="0" r:id="rId5">
            <anchor moveWithCells="1" sizeWithCells="1">
              <from>
                <xdr:col>3</xdr:col>
                <xdr:colOff>304800</xdr:colOff>
                <xdr:row>22</xdr:row>
                <xdr:rowOff>95250</xdr:rowOff>
              </from>
              <to>
                <xdr:col>3</xdr:col>
                <xdr:colOff>828675</xdr:colOff>
                <xdr:row>24</xdr:row>
                <xdr:rowOff>95250</xdr:rowOff>
              </to>
            </anchor>
          </objectPr>
        </oleObject>
      </mc:Choice>
      <mc:Fallback>
        <oleObject progId="Equation.3" shapeId="66561" r:id="rId4"/>
      </mc:Fallback>
    </mc:AlternateContent>
    <mc:AlternateContent xmlns:mc="http://schemas.openxmlformats.org/markup-compatibility/2006">
      <mc:Choice Requires="x14">
        <oleObject progId="Equation.3" shapeId="66562" r:id="rId6">
          <objectPr defaultSize="0" autoPict="0" r:id="rId7">
            <anchor moveWithCells="1" sizeWithCells="1">
              <from>
                <xdr:col>5</xdr:col>
                <xdr:colOff>295275</xdr:colOff>
                <xdr:row>22</xdr:row>
                <xdr:rowOff>95250</xdr:rowOff>
              </from>
              <to>
                <xdr:col>5</xdr:col>
                <xdr:colOff>752475</xdr:colOff>
                <xdr:row>24</xdr:row>
                <xdr:rowOff>95250</xdr:rowOff>
              </to>
            </anchor>
          </objectPr>
        </oleObject>
      </mc:Choice>
      <mc:Fallback>
        <oleObject progId="Equation.3" shapeId="66562" r:id="rId6"/>
      </mc:Fallback>
    </mc:AlternateContent>
    <mc:AlternateContent xmlns:mc="http://schemas.openxmlformats.org/markup-compatibility/2006">
      <mc:Choice Requires="x14">
        <oleObject progId="Equation.3" shapeId="66563" r:id="rId8">
          <objectPr defaultSize="0" autoPict="0" r:id="rId9">
            <anchor moveWithCells="1" sizeWithCells="1">
              <from>
                <xdr:col>5</xdr:col>
                <xdr:colOff>85725</xdr:colOff>
                <xdr:row>32</xdr:row>
                <xdr:rowOff>66675</xdr:rowOff>
              </from>
              <to>
                <xdr:col>5</xdr:col>
                <xdr:colOff>676275</xdr:colOff>
                <xdr:row>33</xdr:row>
                <xdr:rowOff>66675</xdr:rowOff>
              </to>
            </anchor>
          </objectPr>
        </oleObject>
      </mc:Choice>
      <mc:Fallback>
        <oleObject progId="Equation.3" shapeId="66563" r:id="rId8"/>
      </mc:Fallback>
    </mc:AlternateContent>
    <mc:AlternateContent xmlns:mc="http://schemas.openxmlformats.org/markup-compatibility/2006">
      <mc:Choice Requires="x14">
        <oleObject progId="Equation.3" shapeId="66564" r:id="rId10">
          <objectPr defaultSize="0" autoPict="0" r:id="rId5">
            <anchor moveWithCells="1" sizeWithCells="1">
              <from>
                <xdr:col>5</xdr:col>
                <xdr:colOff>352425</xdr:colOff>
                <xdr:row>61</xdr:row>
                <xdr:rowOff>95250</xdr:rowOff>
              </from>
              <to>
                <xdr:col>5</xdr:col>
                <xdr:colOff>742950</xdr:colOff>
                <xdr:row>63</xdr:row>
                <xdr:rowOff>95250</xdr:rowOff>
              </to>
            </anchor>
          </objectPr>
        </oleObject>
      </mc:Choice>
      <mc:Fallback>
        <oleObject progId="Equation.3" shapeId="66564" r:id="rId10"/>
      </mc:Fallback>
    </mc:AlternateContent>
    <mc:AlternateContent xmlns:mc="http://schemas.openxmlformats.org/markup-compatibility/2006">
      <mc:Choice Requires="x14">
        <oleObject progId="Equation.3" shapeId="66565" r:id="rId11">
          <objectPr defaultSize="0" autoPict="0" r:id="rId5">
            <anchor moveWithCells="1" sizeWithCells="1">
              <from>
                <xdr:col>5</xdr:col>
                <xdr:colOff>247650</xdr:colOff>
                <xdr:row>82</xdr:row>
                <xdr:rowOff>133350</xdr:rowOff>
              </from>
              <to>
                <xdr:col>6</xdr:col>
                <xdr:colOff>9525</xdr:colOff>
                <xdr:row>85</xdr:row>
                <xdr:rowOff>133350</xdr:rowOff>
              </to>
            </anchor>
          </objectPr>
        </oleObject>
      </mc:Choice>
      <mc:Fallback>
        <oleObject progId="Equation.3" shapeId="66565" r:id="rId11"/>
      </mc:Fallback>
    </mc:AlternateContent>
    <mc:AlternateContent xmlns:mc="http://schemas.openxmlformats.org/markup-compatibility/2006">
      <mc:Choice Requires="x14">
        <oleObject progId="Equation.3" shapeId="66566" r:id="rId12">
          <objectPr defaultSize="0" autoPict="0" r:id="rId13">
            <anchor moveWithCells="1" sizeWithCells="1">
              <from>
                <xdr:col>2</xdr:col>
                <xdr:colOff>104775</xdr:colOff>
                <xdr:row>93</xdr:row>
                <xdr:rowOff>38100</xdr:rowOff>
              </from>
              <to>
                <xdr:col>2</xdr:col>
                <xdr:colOff>704850</xdr:colOff>
                <xdr:row>94</xdr:row>
                <xdr:rowOff>133350</xdr:rowOff>
              </to>
            </anchor>
          </objectPr>
        </oleObject>
      </mc:Choice>
      <mc:Fallback>
        <oleObject progId="Equation.3" shapeId="66566" r:id="rId12"/>
      </mc:Fallback>
    </mc:AlternateContent>
    <mc:AlternateContent xmlns:mc="http://schemas.openxmlformats.org/markup-compatibility/2006">
      <mc:Choice Requires="x14">
        <oleObject progId="Equation.3" shapeId="66567" r:id="rId14">
          <objectPr defaultSize="0" autoPict="0" r:id="rId15">
            <anchor moveWithCells="1" sizeWithCells="1">
              <from>
                <xdr:col>2</xdr:col>
                <xdr:colOff>28575</xdr:colOff>
                <xdr:row>103</xdr:row>
                <xdr:rowOff>38100</xdr:rowOff>
              </from>
              <to>
                <xdr:col>3</xdr:col>
                <xdr:colOff>9525</xdr:colOff>
                <xdr:row>105</xdr:row>
                <xdr:rowOff>66675</xdr:rowOff>
              </to>
            </anchor>
          </objectPr>
        </oleObject>
      </mc:Choice>
      <mc:Fallback>
        <oleObject progId="Equation.3" shapeId="66567" r:id="rId14"/>
      </mc:Fallback>
    </mc:AlternateContent>
    <mc:AlternateContent xmlns:mc="http://schemas.openxmlformats.org/markup-compatibility/2006">
      <mc:Choice Requires="x14">
        <oleObject progId="Equation.3" shapeId="66568" r:id="rId16">
          <objectPr defaultSize="0" autoPict="0" r:id="rId17">
            <anchor moveWithCells="1" sizeWithCells="1">
              <from>
                <xdr:col>3</xdr:col>
                <xdr:colOff>161925</xdr:colOff>
                <xdr:row>116</xdr:row>
                <xdr:rowOff>47625</xdr:rowOff>
              </from>
              <to>
                <xdr:col>3</xdr:col>
                <xdr:colOff>800100</xdr:colOff>
                <xdr:row>118</xdr:row>
                <xdr:rowOff>114300</xdr:rowOff>
              </to>
            </anchor>
          </objectPr>
        </oleObject>
      </mc:Choice>
      <mc:Fallback>
        <oleObject progId="Equation.3" shapeId="66568" r:id="rId16"/>
      </mc:Fallback>
    </mc:AlternateContent>
    <mc:AlternateContent xmlns:mc="http://schemas.openxmlformats.org/markup-compatibility/2006">
      <mc:Choice Requires="x14">
        <oleObject progId="Equation.3" shapeId="66569" r:id="rId18">
          <objectPr defaultSize="0" autoPict="0" r:id="rId19">
            <anchor moveWithCells="1" sizeWithCells="1">
              <from>
                <xdr:col>3</xdr:col>
                <xdr:colOff>114300</xdr:colOff>
                <xdr:row>123</xdr:row>
                <xdr:rowOff>66675</xdr:rowOff>
              </from>
              <to>
                <xdr:col>3</xdr:col>
                <xdr:colOff>819150</xdr:colOff>
                <xdr:row>125</xdr:row>
                <xdr:rowOff>142875</xdr:rowOff>
              </to>
            </anchor>
          </objectPr>
        </oleObject>
      </mc:Choice>
      <mc:Fallback>
        <oleObject progId="Equation.3" shapeId="66569" r:id="rId18"/>
      </mc:Fallback>
    </mc:AlternateContent>
    <mc:AlternateContent xmlns:mc="http://schemas.openxmlformats.org/markup-compatibility/2006">
      <mc:Choice Requires="x14">
        <oleObject progId="Equation.3" shapeId="66570" r:id="rId20">
          <objectPr defaultSize="0" autoPict="0" r:id="rId21">
            <anchor moveWithCells="1" sizeWithCells="1">
              <from>
                <xdr:col>1</xdr:col>
                <xdr:colOff>238125</xdr:colOff>
                <xdr:row>128</xdr:row>
                <xdr:rowOff>152400</xdr:rowOff>
              </from>
              <to>
                <xdr:col>3</xdr:col>
                <xdr:colOff>266700</xdr:colOff>
                <xdr:row>131</xdr:row>
                <xdr:rowOff>28575</xdr:rowOff>
              </to>
            </anchor>
          </objectPr>
        </oleObject>
      </mc:Choice>
      <mc:Fallback>
        <oleObject progId="Equation.3" shapeId="66570" r:id="rId20"/>
      </mc:Fallback>
    </mc:AlternateContent>
    <mc:AlternateContent xmlns:mc="http://schemas.openxmlformats.org/markup-compatibility/2006">
      <mc:Choice Requires="x14">
        <oleObject progId="Equation.3" shapeId="66571" r:id="rId22">
          <objectPr defaultSize="0" autoPict="0" r:id="rId23">
            <anchor moveWithCells="1" sizeWithCells="1">
              <from>
                <xdr:col>2</xdr:col>
                <xdr:colOff>28575</xdr:colOff>
                <xdr:row>132</xdr:row>
                <xdr:rowOff>0</xdr:rowOff>
              </from>
              <to>
                <xdr:col>3</xdr:col>
                <xdr:colOff>133350</xdr:colOff>
                <xdr:row>134</xdr:row>
                <xdr:rowOff>9525</xdr:rowOff>
              </to>
            </anchor>
          </objectPr>
        </oleObject>
      </mc:Choice>
      <mc:Fallback>
        <oleObject progId="Equation.3" shapeId="66571" r:id="rId22"/>
      </mc:Fallback>
    </mc:AlternateContent>
    <mc:AlternateContent xmlns:mc="http://schemas.openxmlformats.org/markup-compatibility/2006">
      <mc:Choice Requires="x14">
        <oleObject progId="Equation.3" shapeId="66572" r:id="rId24">
          <objectPr defaultSize="0" autoPict="0" r:id="rId23">
            <anchor moveWithCells="1" sizeWithCells="1">
              <from>
                <xdr:col>2</xdr:col>
                <xdr:colOff>28575</xdr:colOff>
                <xdr:row>139</xdr:row>
                <xdr:rowOff>76200</xdr:rowOff>
              </from>
              <to>
                <xdr:col>3</xdr:col>
                <xdr:colOff>133350</xdr:colOff>
                <xdr:row>141</xdr:row>
                <xdr:rowOff>85725</xdr:rowOff>
              </to>
            </anchor>
          </objectPr>
        </oleObject>
      </mc:Choice>
      <mc:Fallback>
        <oleObject progId="Equation.3" shapeId="66572" r:id="rId24"/>
      </mc:Fallback>
    </mc:AlternateContent>
    <mc:AlternateContent xmlns:mc="http://schemas.openxmlformats.org/markup-compatibility/2006">
      <mc:Choice Requires="x14">
        <oleObject progId="Equation.3" shapeId="66573" r:id="rId25">
          <objectPr defaultSize="0" autoPict="0" r:id="rId21">
            <anchor moveWithCells="1" sizeWithCells="1">
              <from>
                <xdr:col>1</xdr:col>
                <xdr:colOff>228600</xdr:colOff>
                <xdr:row>141</xdr:row>
                <xdr:rowOff>152400</xdr:rowOff>
              </from>
              <to>
                <xdr:col>3</xdr:col>
                <xdr:colOff>257175</xdr:colOff>
                <xdr:row>144</xdr:row>
                <xdr:rowOff>28575</xdr:rowOff>
              </to>
            </anchor>
          </objectPr>
        </oleObject>
      </mc:Choice>
      <mc:Fallback>
        <oleObject progId="Equation.3" shapeId="66573" r:id="rId25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58"/>
  <sheetViews>
    <sheetView zoomScaleNormal="100" zoomScaleSheetLayoutView="80" workbookViewId="0">
      <selection activeCell="C5" sqref="C5"/>
    </sheetView>
  </sheetViews>
  <sheetFormatPr baseColWidth="10" defaultRowHeight="16.5" x14ac:dyDescent="0.3"/>
  <cols>
    <col min="1" max="16" width="11" style="160"/>
    <col min="17" max="21" width="0" style="160" hidden="1" customWidth="1"/>
    <col min="22" max="16384" width="11" style="160"/>
  </cols>
  <sheetData>
    <row r="2" spans="2:21" x14ac:dyDescent="0.3">
      <c r="B2" s="422" t="s">
        <v>295</v>
      </c>
      <c r="C2" s="422"/>
      <c r="D2" s="422"/>
      <c r="E2" s="422"/>
      <c r="F2" s="422"/>
      <c r="G2" s="422"/>
      <c r="H2" s="422"/>
      <c r="I2" s="422"/>
      <c r="J2" s="422"/>
      <c r="K2" s="422"/>
      <c r="L2" s="422"/>
      <c r="M2" s="422"/>
      <c r="N2" s="422"/>
      <c r="O2" s="422"/>
    </row>
    <row r="3" spans="2:21" x14ac:dyDescent="0.3">
      <c r="B3" s="161"/>
      <c r="C3" s="161"/>
      <c r="D3" s="161"/>
      <c r="E3" s="161"/>
      <c r="F3" s="162" t="s">
        <v>345</v>
      </c>
      <c r="G3" s="161"/>
      <c r="H3" s="163" t="s">
        <v>338</v>
      </c>
      <c r="I3" s="161"/>
      <c r="J3" s="161"/>
      <c r="K3" s="164" t="s">
        <v>299</v>
      </c>
      <c r="L3" s="164" t="str">
        <f>+CONCATENATE(S36,T36)</f>
        <v>S1</v>
      </c>
      <c r="M3" s="161"/>
      <c r="N3" s="161"/>
      <c r="O3" s="161"/>
    </row>
    <row r="4" spans="2:21" x14ac:dyDescent="0.3">
      <c r="B4" s="423" t="s">
        <v>296</v>
      </c>
      <c r="C4" s="423"/>
      <c r="D4" s="423"/>
      <c r="R4" s="160" t="s">
        <v>297</v>
      </c>
      <c r="S4" s="165">
        <f>+C6</f>
        <v>6</v>
      </c>
      <c r="T4" s="160" t="s">
        <v>297</v>
      </c>
      <c r="U4" s="165">
        <f>+C6/3</f>
        <v>2</v>
      </c>
    </row>
    <row r="5" spans="2:21" x14ac:dyDescent="0.3">
      <c r="B5" s="166" t="s">
        <v>8</v>
      </c>
      <c r="C5" s="167">
        <f>'DISEÑO HIDRAULICO'!G6</f>
        <v>161.09587277777777</v>
      </c>
      <c r="D5" s="159" t="s">
        <v>298</v>
      </c>
      <c r="F5" s="168" t="s">
        <v>339</v>
      </c>
      <c r="G5" s="169">
        <f>+S33</f>
        <v>2.1285436105875055</v>
      </c>
      <c r="R5" s="160" t="s">
        <v>300</v>
      </c>
      <c r="S5" s="165">
        <f t="shared" ref="S5:S14" si="0">+S4-(C$8^5*S4^10+5*C$6*C$8^4*S4^9+10*C$6^2*C$8^3*S4^8+10*C$6^3*C$8^2*S4^7+5*C$6^4*C$8*S4^6+C$6^5*S4^5-C$10*C$11^2*S4^2-2*C$10*C$11*C$6*S4-C$10*C$6^2)/(10*C$8^5*S4^9+45*C$6*C$8^4*S4^8+80*C$6^2*C$8^3*S4^7+70*C$6^3*C$8^2*S4^6+30*C$6^4*C$8*S4^5+5*C$6^5*S4^4-2*C$10*C$11^2*S4-2*C$10*C$11*C$6)</f>
        <v>5.1038938058237298</v>
      </c>
      <c r="T5" s="160" t="s">
        <v>300</v>
      </c>
      <c r="U5" s="165">
        <f t="shared" ref="U5:U14" si="1">+U4-(C$8^3*U4^6+3*C$6*C$8^2*U4^5+3*C$6^2*C$8*U4^4+C$6^3*U4^3-C$12*C$6-C$13*C$12*U4)/(6*C$8^3*U4^5+15*C$6*C$8^2*U4^4+12*C$6^2*C$8*U4^3+3*C$6^3*U4^2-C$12*C$13)</f>
        <v>10.94786484101467</v>
      </c>
    </row>
    <row r="6" spans="2:21" x14ac:dyDescent="0.3">
      <c r="B6" s="166" t="s">
        <v>19</v>
      </c>
      <c r="C6" s="167">
        <v>6</v>
      </c>
      <c r="D6" s="159" t="s">
        <v>20</v>
      </c>
      <c r="F6" s="168" t="s">
        <v>340</v>
      </c>
      <c r="G6" s="169">
        <f>+U33</f>
        <v>3.7517091701655261</v>
      </c>
      <c r="R6" s="160" t="s">
        <v>301</v>
      </c>
      <c r="S6" s="165">
        <f t="shared" si="0"/>
        <v>4.3257086183506885</v>
      </c>
      <c r="T6" s="160" t="s">
        <v>301</v>
      </c>
      <c r="U6" s="165">
        <f t="shared" si="1"/>
        <v>8.5251437454469325</v>
      </c>
    </row>
    <row r="7" spans="2:21" x14ac:dyDescent="0.3">
      <c r="B7" s="166" t="s">
        <v>302</v>
      </c>
      <c r="C7" s="170">
        <f>'DISEÑO HIDRAULICO'!G11</f>
        <v>0.08</v>
      </c>
      <c r="D7" s="159"/>
      <c r="F7" s="168" t="s">
        <v>303</v>
      </c>
      <c r="G7" s="169">
        <f>1.02*G5</f>
        <v>2.1711144827992555</v>
      </c>
      <c r="R7" s="160" t="s">
        <v>304</v>
      </c>
      <c r="S7" s="165">
        <f t="shared" si="0"/>
        <v>3.6582330510661096</v>
      </c>
      <c r="T7" s="160" t="s">
        <v>304</v>
      </c>
      <c r="U7" s="165">
        <f t="shared" si="1"/>
        <v>6.6174354446593799</v>
      </c>
    </row>
    <row r="8" spans="2:21" x14ac:dyDescent="0.3">
      <c r="B8" s="166" t="s">
        <v>344</v>
      </c>
      <c r="C8" s="167">
        <v>0.5</v>
      </c>
      <c r="D8" s="159"/>
      <c r="F8" s="168" t="s">
        <v>149</v>
      </c>
      <c r="G8" s="171">
        <v>10</v>
      </c>
      <c r="R8" s="160" t="s">
        <v>305</v>
      </c>
      <c r="S8" s="165">
        <f t="shared" si="0"/>
        <v>3.0989895793952087</v>
      </c>
      <c r="T8" s="160" t="s">
        <v>305</v>
      </c>
      <c r="U8" s="165">
        <f t="shared" si="1"/>
        <v>5.1962778141144561</v>
      </c>
    </row>
    <row r="9" spans="2:21" x14ac:dyDescent="0.3">
      <c r="B9" s="166" t="s">
        <v>17</v>
      </c>
      <c r="C9" s="172">
        <f>'DISEÑO HIDRAULICO'!G13</f>
        <v>3.3000000000000002E-2</v>
      </c>
      <c r="D9" s="159"/>
      <c r="F9" s="168" t="s">
        <v>306</v>
      </c>
      <c r="G9" s="168">
        <f>ABS((G10-G7)/G8)</f>
        <v>0.13088855172007446</v>
      </c>
      <c r="R9" s="160" t="s">
        <v>307</v>
      </c>
      <c r="S9" s="165">
        <f t="shared" si="0"/>
        <v>2.6536295432953874</v>
      </c>
      <c r="T9" s="160" t="s">
        <v>307</v>
      </c>
      <c r="U9" s="165">
        <f t="shared" si="1"/>
        <v>4.2713901927649154</v>
      </c>
    </row>
    <row r="10" spans="2:21" x14ac:dyDescent="0.3">
      <c r="B10" s="173" t="s">
        <v>308</v>
      </c>
      <c r="C10" s="172">
        <f>+((C5*C9)/(SQRT(C7)))^3</f>
        <v>6639.8777187835803</v>
      </c>
      <c r="D10" s="159"/>
      <c r="E10" s="174"/>
      <c r="F10" s="168" t="s">
        <v>297</v>
      </c>
      <c r="G10" s="168">
        <v>3.48</v>
      </c>
      <c r="R10" s="160" t="s">
        <v>309</v>
      </c>
      <c r="S10" s="165">
        <f t="shared" si="0"/>
        <v>2.3391950563386414</v>
      </c>
      <c r="T10" s="160" t="s">
        <v>309</v>
      </c>
      <c r="U10" s="165">
        <f t="shared" si="1"/>
        <v>3.8434289740259833</v>
      </c>
    </row>
    <row r="11" spans="2:21" x14ac:dyDescent="0.3">
      <c r="B11" s="173" t="s">
        <v>310</v>
      </c>
      <c r="C11" s="172">
        <f>2*SQRT(1+C8^2)</f>
        <v>2.2360679774997898</v>
      </c>
      <c r="D11" s="159"/>
      <c r="E11" s="175"/>
      <c r="R11" s="160" t="s">
        <v>311</v>
      </c>
      <c r="S11" s="165">
        <f t="shared" si="0"/>
        <v>2.1741671305799333</v>
      </c>
      <c r="T11" s="160" t="s">
        <v>311</v>
      </c>
      <c r="U11" s="165">
        <f t="shared" si="1"/>
        <v>3.7551356094156008</v>
      </c>
    </row>
    <row r="12" spans="2:21" x14ac:dyDescent="0.3">
      <c r="B12" s="173" t="s">
        <v>312</v>
      </c>
      <c r="C12" s="172">
        <f>+(C5^2)/9.81</f>
        <v>2645.4516030615659</v>
      </c>
      <c r="D12" s="159"/>
      <c r="E12" s="1"/>
      <c r="R12" s="160" t="s">
        <v>313</v>
      </c>
      <c r="S12" s="165">
        <f t="shared" si="0"/>
        <v>2.1311495425432336</v>
      </c>
      <c r="T12" s="160" t="s">
        <v>313</v>
      </c>
      <c r="U12" s="165">
        <f t="shared" si="1"/>
        <v>3.7517141558377265</v>
      </c>
    </row>
    <row r="13" spans="2:21" x14ac:dyDescent="0.3">
      <c r="B13" s="173" t="s">
        <v>314</v>
      </c>
      <c r="C13" s="172">
        <f>2*C8</f>
        <v>1</v>
      </c>
      <c r="D13" s="159"/>
      <c r="E13" s="1"/>
      <c r="R13" s="160" t="s">
        <v>315</v>
      </c>
      <c r="S13" s="165">
        <f t="shared" si="0"/>
        <v>2.128552619639815</v>
      </c>
      <c r="T13" s="160" t="s">
        <v>315</v>
      </c>
      <c r="U13" s="165">
        <f t="shared" si="1"/>
        <v>3.7517091701760994</v>
      </c>
    </row>
    <row r="14" spans="2:21" x14ac:dyDescent="0.3">
      <c r="P14" s="165"/>
      <c r="R14" s="160" t="s">
        <v>316</v>
      </c>
      <c r="S14" s="165">
        <f t="shared" si="0"/>
        <v>2.128543610695568</v>
      </c>
      <c r="T14" s="160" t="s">
        <v>316</v>
      </c>
      <c r="U14" s="165">
        <f t="shared" si="1"/>
        <v>3.7517091701655261</v>
      </c>
    </row>
    <row r="15" spans="2:21" x14ac:dyDescent="0.3">
      <c r="P15" s="165"/>
      <c r="S15" s="165"/>
      <c r="U15" s="165"/>
    </row>
    <row r="16" spans="2:21" x14ac:dyDescent="0.3">
      <c r="P16" s="165"/>
      <c r="S16" s="165"/>
      <c r="U16" s="165"/>
    </row>
    <row r="17" spans="2:21" x14ac:dyDescent="0.3">
      <c r="P17" s="165"/>
      <c r="S17" s="165"/>
      <c r="U17" s="165"/>
    </row>
    <row r="18" spans="2:21" x14ac:dyDescent="0.3">
      <c r="P18" s="165"/>
      <c r="S18" s="165"/>
      <c r="U18" s="165"/>
    </row>
    <row r="19" spans="2:21" x14ac:dyDescent="0.3">
      <c r="L19" s="176"/>
      <c r="P19" s="165"/>
      <c r="S19" s="165"/>
      <c r="U19" s="165"/>
    </row>
    <row r="20" spans="2:21" x14ac:dyDescent="0.3">
      <c r="K20" s="176" t="s">
        <v>343</v>
      </c>
      <c r="L20" s="176"/>
      <c r="P20" s="165"/>
      <c r="S20" s="165"/>
      <c r="U20" s="165"/>
    </row>
    <row r="21" spans="2:21" x14ac:dyDescent="0.3">
      <c r="L21" s="176"/>
      <c r="P21" s="165"/>
      <c r="S21" s="165"/>
      <c r="U21" s="165"/>
    </row>
    <row r="22" spans="2:21" x14ac:dyDescent="0.3">
      <c r="L22" s="176"/>
      <c r="P22" s="165"/>
      <c r="S22" s="165"/>
      <c r="U22" s="165"/>
    </row>
    <row r="23" spans="2:21" x14ac:dyDescent="0.3">
      <c r="P23" s="165"/>
      <c r="S23" s="165"/>
      <c r="U23" s="165"/>
    </row>
    <row r="24" spans="2:21" x14ac:dyDescent="0.3">
      <c r="B24" s="177" t="s">
        <v>317</v>
      </c>
      <c r="C24" s="177" t="s">
        <v>2</v>
      </c>
      <c r="D24" s="177" t="s">
        <v>318</v>
      </c>
      <c r="E24" s="177" t="s">
        <v>319</v>
      </c>
      <c r="F24" s="177" t="s">
        <v>320</v>
      </c>
      <c r="G24" s="177" t="s">
        <v>321</v>
      </c>
      <c r="H24" s="177" t="s">
        <v>322</v>
      </c>
      <c r="I24" s="177" t="s">
        <v>188</v>
      </c>
      <c r="J24" s="177" t="s">
        <v>323</v>
      </c>
      <c r="K24" s="177" t="s">
        <v>341</v>
      </c>
      <c r="L24" s="177" t="s">
        <v>342</v>
      </c>
      <c r="M24" s="177" t="s">
        <v>324</v>
      </c>
      <c r="N24" s="177" t="s">
        <v>325</v>
      </c>
      <c r="O24" s="177" t="s">
        <v>326</v>
      </c>
      <c r="P24" s="165"/>
      <c r="R24" s="160" t="s">
        <v>327</v>
      </c>
      <c r="S24" s="165">
        <f>+S14-(C$8^5*S14^10+5*C$6*C$8^4*S14^9+10*C$6^2*C$8^3*S14^8+10*C$6^3*C$8^2*S14^7+5*C$6^4*C$8*S14^6+C$6^5*S14^5-C$10*C$11^2*S14^2-2*C$10*C$11*C$6*S14-C$10*C$6^2)/(10*C$8^5*S14^9+45*C$6*C$8^4*S14^8+80*C$6^2*C$8^3*S14^7+70*C$6^3*C$8^2*S14^6+30*C$6^4*C$8*S14^5+5*C$6^5*S14^4-2*C$10*C$11^2*S14-2*C$10*C$11*C$6)</f>
        <v>2.1285436105875055</v>
      </c>
      <c r="T24" s="160" t="s">
        <v>327</v>
      </c>
      <c r="U24" s="165">
        <f>+U14-(C$8^3*U14^6+3*C$6*C$8^2*U14^5+3*C$6^2*C$8*U14^4+C$6^3*U14^3-C$12*C$6-C$13*C$12*U14)/(6*C$8^3*U14^5+15*C$6*C$8^2*U14^4+12*C$6^2*C$8*U14^3+3*C$6^3*U14^2-C$12*C$13)</f>
        <v>3.7517091701655265</v>
      </c>
    </row>
    <row r="25" spans="2:21" x14ac:dyDescent="0.3">
      <c r="B25" s="178">
        <f>+G7</f>
        <v>2.1711144827992555</v>
      </c>
      <c r="C25" s="178">
        <f t="shared" ref="C25:C35" si="2">+(C$6+C$8*B25)*B25</f>
        <v>15.383555945505872</v>
      </c>
      <c r="D25" s="178">
        <f t="shared" ref="D25:D35" si="3">+C$6+2*B25*SQRT(1+C$8^2)</f>
        <v>10.854759570473433</v>
      </c>
      <c r="E25" s="178">
        <f>+C25/D25</f>
        <v>1.4172175666931806</v>
      </c>
      <c r="F25" s="178">
        <f>+POWER(E25,0.666666666666667)</f>
        <v>1.2617045945791279</v>
      </c>
      <c r="G25" s="178">
        <f t="shared" ref="G25:G35" si="4">+C$5/C25</f>
        <v>10.471952866322827</v>
      </c>
      <c r="H25" s="178">
        <f>+(POWER(G25,2))/(2*9.81)</f>
        <v>5.5892862810645694</v>
      </c>
      <c r="I25" s="178">
        <f>+B25+H25</f>
        <v>7.7604007638638244</v>
      </c>
      <c r="J25" s="178"/>
      <c r="K25" s="179">
        <f>+POWER(((G25*C9)/F25),2)</f>
        <v>7.5018412263341536E-2</v>
      </c>
      <c r="L25" s="178"/>
      <c r="M25" s="178"/>
      <c r="N25" s="178"/>
      <c r="O25" s="178">
        <v>0</v>
      </c>
      <c r="P25" s="165"/>
      <c r="R25" s="160" t="s">
        <v>328</v>
      </c>
      <c r="S25" s="165">
        <f t="shared" ref="S25:S33" si="5">+S24-(C$8^5*S24^10+5*C$6*C$8^4*S24^9+10*C$6^2*C$8^3*S24^8+10*C$6^3*C$8^2*S24^7+5*C$6^4*C$8*S24^6+C$6^5*S24^5-C$10*C$11^2*S24^2-2*C$10*C$11*C$6*S24-C$10*C$6^2)/(10*C$8^5*S24^9+45*C$6*C$8^4*S24^8+80*C$6^2*C$8^3*S24^7+70*C$6^3*C$8^2*S24^6+30*C$6^4*C$8*S24^5+5*C$6^5*S24^4-2*C$10*C$11^2*S24-2*C$10*C$11*C$6)</f>
        <v>2.1285436105875055</v>
      </c>
      <c r="T25" s="160" t="s">
        <v>328</v>
      </c>
      <c r="U25" s="165">
        <f t="shared" ref="U25:U33" si="6">+U24-(C$8^3*U24^6+3*C$6*C$8^2*U24^5+3*C$6^2*C$8*U24^4+C$6^3*U24^3-C$12*C$6-C$13*C$12*U24)/(6*C$8^3*U24^5+15*C$6*C$8^2*U24^4+12*C$6^2*C$8*U24^3+3*C$6^3*U24^2-C$12*C$13)</f>
        <v>3.7517091701655261</v>
      </c>
    </row>
    <row r="26" spans="2:21" x14ac:dyDescent="0.3">
      <c r="B26" s="178">
        <f t="shared" ref="B26:B35" si="7">+B25+G$9</f>
        <v>2.3020030345193301</v>
      </c>
      <c r="C26" s="178">
        <f t="shared" si="2"/>
        <v>16.461627192584082</v>
      </c>
      <c r="D26" s="178">
        <f t="shared" si="3"/>
        <v>11.147435269596016</v>
      </c>
      <c r="E26" s="178">
        <f t="shared" ref="E26:E35" si="8">+C26/D26</f>
        <v>1.4767187962492339</v>
      </c>
      <c r="F26" s="178">
        <f t="shared" ref="F26:F35" si="9">+POWER(E26,0.666666666666667)</f>
        <v>1.2967767095144833</v>
      </c>
      <c r="G26" s="178">
        <f t="shared" si="4"/>
        <v>9.7861451297081388</v>
      </c>
      <c r="H26" s="178">
        <f t="shared" ref="H26:H35" si="10">+(POWER(G26,2))/(2*9.81)</f>
        <v>4.8811741335224426</v>
      </c>
      <c r="I26" s="178">
        <f t="shared" ref="I26:I35" si="11">+B26+H26</f>
        <v>7.1831771680417731</v>
      </c>
      <c r="J26" s="179">
        <f t="shared" ref="J26:J35" si="12">+I26-I25</f>
        <v>-0.57722359582205129</v>
      </c>
      <c r="K26" s="179">
        <f>+POWER(((G26*C9)/F26),2)</f>
        <v>6.2018431772867331E-2</v>
      </c>
      <c r="L26" s="179">
        <f>+(K26+K25)/2</f>
        <v>6.851842201810443E-2</v>
      </c>
      <c r="M26" s="179">
        <f>ABS(+C7-L26)</f>
        <v>1.1481577981895572E-2</v>
      </c>
      <c r="N26" s="179">
        <f>ABS(J26/M26)</f>
        <v>50.273890638745939</v>
      </c>
      <c r="O26" s="178">
        <f>ABS(O25+N26)</f>
        <v>50.273890638745939</v>
      </c>
      <c r="P26" s="165"/>
      <c r="R26" s="160" t="s">
        <v>329</v>
      </c>
      <c r="S26" s="165">
        <f t="shared" si="5"/>
        <v>2.1285436105875055</v>
      </c>
      <c r="T26" s="160" t="s">
        <v>329</v>
      </c>
      <c r="U26" s="165">
        <f t="shared" si="6"/>
        <v>3.7517091701655265</v>
      </c>
    </row>
    <row r="27" spans="2:21" x14ac:dyDescent="0.3">
      <c r="B27" s="178">
        <f t="shared" si="7"/>
        <v>2.4328915862394047</v>
      </c>
      <c r="C27" s="178">
        <f t="shared" si="2"/>
        <v>17.556830252633674</v>
      </c>
      <c r="D27" s="178">
        <f t="shared" si="3"/>
        <v>11.440110968718601</v>
      </c>
      <c r="E27" s="178">
        <f t="shared" si="8"/>
        <v>1.5346730727210947</v>
      </c>
      <c r="F27" s="178">
        <f t="shared" si="9"/>
        <v>1.3304868363298228</v>
      </c>
      <c r="G27" s="178">
        <f t="shared" si="4"/>
        <v>9.1756809435240747</v>
      </c>
      <c r="H27" s="178">
        <f t="shared" si="10"/>
        <v>4.2911886226988205</v>
      </c>
      <c r="I27" s="178">
        <f t="shared" si="11"/>
        <v>6.7240802089382257</v>
      </c>
      <c r="J27" s="179">
        <f t="shared" si="12"/>
        <v>-0.45909695910354742</v>
      </c>
      <c r="K27" s="179">
        <f t="shared" ref="K27:K35" si="13">+POWER(((G27*C$9)/F27),2)</f>
        <v>5.1794461653349548E-2</v>
      </c>
      <c r="L27" s="179">
        <f t="shared" ref="L27:L35" si="14">+(K27+K26)/2</f>
        <v>5.690644671310844E-2</v>
      </c>
      <c r="M27" s="179">
        <f>ABS(+C7-L27)</f>
        <v>2.3093553286891562E-2</v>
      </c>
      <c r="N27" s="179">
        <f t="shared" ref="N27:N35" si="15">ABS(J27/M27)</f>
        <v>19.879875279485098</v>
      </c>
      <c r="O27" s="178">
        <f>+O26+N27</f>
        <v>70.153765918231045</v>
      </c>
      <c r="P27" s="165"/>
      <c r="R27" s="160" t="s">
        <v>330</v>
      </c>
      <c r="S27" s="165">
        <f t="shared" si="5"/>
        <v>2.1285436105875055</v>
      </c>
      <c r="T27" s="160" t="s">
        <v>330</v>
      </c>
      <c r="U27" s="165">
        <f t="shared" si="6"/>
        <v>3.7517091701655261</v>
      </c>
    </row>
    <row r="28" spans="2:21" x14ac:dyDescent="0.3">
      <c r="B28" s="178">
        <f t="shared" si="7"/>
        <v>2.5637801379594793</v>
      </c>
      <c r="C28" s="178">
        <f t="shared" si="2"/>
        <v>18.66916512565464</v>
      </c>
      <c r="D28" s="178">
        <f t="shared" si="3"/>
        <v>11.732786667841186</v>
      </c>
      <c r="E28" s="178">
        <f t="shared" si="8"/>
        <v>1.5911961628711466</v>
      </c>
      <c r="F28" s="178">
        <f t="shared" si="9"/>
        <v>1.3629580275287889</v>
      </c>
      <c r="G28" s="178">
        <f t="shared" si="4"/>
        <v>8.6289810869155783</v>
      </c>
      <c r="H28" s="178">
        <f t="shared" si="10"/>
        <v>3.7950720998137997</v>
      </c>
      <c r="I28" s="178">
        <f t="shared" si="11"/>
        <v>6.358852237773279</v>
      </c>
      <c r="J28" s="179">
        <f t="shared" si="12"/>
        <v>-0.36522797116494665</v>
      </c>
      <c r="K28" s="179">
        <f t="shared" si="13"/>
        <v>4.3649769047943883E-2</v>
      </c>
      <c r="L28" s="179">
        <f t="shared" si="14"/>
        <v>4.7722115350646716E-2</v>
      </c>
      <c r="M28" s="179">
        <f t="shared" ref="M28:M35" si="16">ABS(+C$7-L28)</f>
        <v>3.2277884649353286E-2</v>
      </c>
      <c r="N28" s="179">
        <f t="shared" si="15"/>
        <v>11.315114826530749</v>
      </c>
      <c r="O28" s="178">
        <f t="shared" ref="O28:O35" si="17">+O27+N28</f>
        <v>81.46888074476179</v>
      </c>
      <c r="P28" s="165"/>
      <c r="R28" s="160" t="s">
        <v>331</v>
      </c>
      <c r="S28" s="165">
        <f t="shared" si="5"/>
        <v>2.1285436105875055</v>
      </c>
      <c r="T28" s="160" t="s">
        <v>331</v>
      </c>
      <c r="U28" s="165">
        <f t="shared" si="6"/>
        <v>3.7517091701655265</v>
      </c>
    </row>
    <row r="29" spans="2:21" x14ac:dyDescent="0.3">
      <c r="B29" s="178">
        <f t="shared" si="7"/>
        <v>2.694668689679554</v>
      </c>
      <c r="C29" s="178">
        <f t="shared" si="2"/>
        <v>19.798631811646988</v>
      </c>
      <c r="D29" s="178">
        <f t="shared" si="3"/>
        <v>12.025462366963769</v>
      </c>
      <c r="E29" s="178">
        <f t="shared" si="8"/>
        <v>1.6463925633360754</v>
      </c>
      <c r="F29" s="178">
        <f t="shared" si="9"/>
        <v>1.3942979767188295</v>
      </c>
      <c r="G29" s="178">
        <f t="shared" si="4"/>
        <v>8.1367174414046897</v>
      </c>
      <c r="H29" s="178">
        <f t="shared" si="10"/>
        <v>3.3744225647940511</v>
      </c>
      <c r="I29" s="178">
        <f t="shared" si="11"/>
        <v>6.0690912544736051</v>
      </c>
      <c r="J29" s="179">
        <f t="shared" si="12"/>
        <v>-0.28976098329967392</v>
      </c>
      <c r="K29" s="179">
        <f t="shared" si="13"/>
        <v>3.7086440722957754E-2</v>
      </c>
      <c r="L29" s="179">
        <f t="shared" si="14"/>
        <v>4.0368104885450819E-2</v>
      </c>
      <c r="M29" s="179">
        <f t="shared" si="16"/>
        <v>3.9631895114549183E-2</v>
      </c>
      <c r="N29" s="179">
        <f t="shared" si="15"/>
        <v>7.3113077853625112</v>
      </c>
      <c r="O29" s="178">
        <f t="shared" si="17"/>
        <v>88.780188530124306</v>
      </c>
      <c r="P29" s="165"/>
      <c r="R29" s="160" t="s">
        <v>332</v>
      </c>
      <c r="S29" s="165">
        <f t="shared" si="5"/>
        <v>2.1285436105875055</v>
      </c>
      <c r="T29" s="160" t="s">
        <v>332</v>
      </c>
      <c r="U29" s="165">
        <f t="shared" si="6"/>
        <v>3.7517091701655261</v>
      </c>
    </row>
    <row r="30" spans="2:21" x14ac:dyDescent="0.3">
      <c r="B30" s="178">
        <f t="shared" si="7"/>
        <v>2.8255572413996286</v>
      </c>
      <c r="C30" s="178">
        <f t="shared" si="2"/>
        <v>20.945230310610711</v>
      </c>
      <c r="D30" s="178">
        <f t="shared" si="3"/>
        <v>12.318138066086352</v>
      </c>
      <c r="E30" s="178">
        <f t="shared" si="8"/>
        <v>1.7003568395028803</v>
      </c>
      <c r="F30" s="178">
        <f t="shared" si="9"/>
        <v>1.4246014490865999</v>
      </c>
      <c r="G30" s="178">
        <f t="shared" si="4"/>
        <v>7.6912915441262877</v>
      </c>
      <c r="H30" s="178">
        <f t="shared" si="10"/>
        <v>3.0150848938200063</v>
      </c>
      <c r="I30" s="178">
        <f t="shared" si="11"/>
        <v>5.8406421352196354</v>
      </c>
      <c r="J30" s="179">
        <f t="shared" si="12"/>
        <v>-0.22844911925396971</v>
      </c>
      <c r="K30" s="179">
        <f t="shared" si="13"/>
        <v>3.1742392982347795E-2</v>
      </c>
      <c r="L30" s="179">
        <f t="shared" si="14"/>
        <v>3.4414416852652771E-2</v>
      </c>
      <c r="M30" s="179">
        <f t="shared" si="16"/>
        <v>4.5585583147347231E-2</v>
      </c>
      <c r="N30" s="179">
        <f t="shared" si="15"/>
        <v>5.0114335165034278</v>
      </c>
      <c r="O30" s="178">
        <f t="shared" si="17"/>
        <v>93.791622046627737</v>
      </c>
      <c r="P30" s="165"/>
      <c r="R30" s="160" t="s">
        <v>333</v>
      </c>
      <c r="S30" s="165">
        <f t="shared" si="5"/>
        <v>2.1285436105875055</v>
      </c>
      <c r="T30" s="160" t="s">
        <v>333</v>
      </c>
      <c r="U30" s="165">
        <f t="shared" si="6"/>
        <v>3.7517091701655265</v>
      </c>
    </row>
    <row r="31" spans="2:21" x14ac:dyDescent="0.3">
      <c r="B31" s="178">
        <f t="shared" si="7"/>
        <v>2.9564457931197032</v>
      </c>
      <c r="C31" s="178">
        <f t="shared" si="2"/>
        <v>22.108960622545816</v>
      </c>
      <c r="D31" s="178">
        <f t="shared" si="3"/>
        <v>12.610813765208936</v>
      </c>
      <c r="E31" s="178">
        <f t="shared" si="8"/>
        <v>1.7531747779465772</v>
      </c>
      <c r="F31" s="178">
        <f t="shared" si="9"/>
        <v>1.4539522460894418</v>
      </c>
      <c r="G31" s="178">
        <f t="shared" si="4"/>
        <v>7.2864516576821243</v>
      </c>
      <c r="H31" s="178">
        <f t="shared" si="10"/>
        <v>2.7060335249611911</v>
      </c>
      <c r="I31" s="178">
        <f t="shared" si="11"/>
        <v>5.6624793180808943</v>
      </c>
      <c r="J31" s="179">
        <f t="shared" si="12"/>
        <v>-0.17816281713874105</v>
      </c>
      <c r="K31" s="179">
        <f t="shared" si="13"/>
        <v>2.7350153628888284E-2</v>
      </c>
      <c r="L31" s="179">
        <f t="shared" si="14"/>
        <v>2.9546273305618039E-2</v>
      </c>
      <c r="M31" s="179">
        <f t="shared" si="16"/>
        <v>5.0453726694381959E-2</v>
      </c>
      <c r="N31" s="179">
        <f t="shared" si="15"/>
        <v>3.5312122376597315</v>
      </c>
      <c r="O31" s="178">
        <f t="shared" si="17"/>
        <v>97.322834284287467</v>
      </c>
      <c r="P31" s="165"/>
      <c r="R31" s="160" t="s">
        <v>334</v>
      </c>
      <c r="S31" s="165">
        <f t="shared" si="5"/>
        <v>2.1285436105875055</v>
      </c>
      <c r="T31" s="160" t="s">
        <v>334</v>
      </c>
      <c r="U31" s="165">
        <f t="shared" si="6"/>
        <v>3.7517091701655261</v>
      </c>
    </row>
    <row r="32" spans="2:21" x14ac:dyDescent="0.3">
      <c r="B32" s="178">
        <f t="shared" si="7"/>
        <v>3.0873343448397779</v>
      </c>
      <c r="C32" s="178">
        <f t="shared" si="2"/>
        <v>23.289822747452298</v>
      </c>
      <c r="D32" s="178">
        <f t="shared" si="3"/>
        <v>12.903489464331521</v>
      </c>
      <c r="E32" s="178">
        <f t="shared" si="8"/>
        <v>1.8049243820310161</v>
      </c>
      <c r="F32" s="178">
        <f t="shared" si="9"/>
        <v>1.4824248089742038</v>
      </c>
      <c r="G32" s="178">
        <f t="shared" si="4"/>
        <v>6.9170072492458212</v>
      </c>
      <c r="H32" s="178">
        <f t="shared" si="10"/>
        <v>2.4385825324219796</v>
      </c>
      <c r="I32" s="178">
        <f t="shared" si="11"/>
        <v>5.5259168772617571</v>
      </c>
      <c r="J32" s="179">
        <f t="shared" si="12"/>
        <v>-0.13656244081913727</v>
      </c>
      <c r="K32" s="179">
        <f t="shared" si="13"/>
        <v>2.3709314224601524E-2</v>
      </c>
      <c r="L32" s="179">
        <f t="shared" si="14"/>
        <v>2.5529733926744902E-2</v>
      </c>
      <c r="M32" s="179">
        <f t="shared" si="16"/>
        <v>5.44702660732551E-2</v>
      </c>
      <c r="N32" s="179">
        <f t="shared" si="15"/>
        <v>2.5071006746227265</v>
      </c>
      <c r="O32" s="178">
        <f t="shared" si="17"/>
        <v>99.829934958910187</v>
      </c>
      <c r="P32" s="165"/>
      <c r="R32" s="160" t="s">
        <v>335</v>
      </c>
      <c r="S32" s="165">
        <f t="shared" si="5"/>
        <v>2.1285436105875055</v>
      </c>
      <c r="T32" s="160" t="s">
        <v>335</v>
      </c>
      <c r="U32" s="165">
        <f t="shared" si="6"/>
        <v>3.7517091701655265</v>
      </c>
    </row>
    <row r="33" spans="2:21" x14ac:dyDescent="0.3">
      <c r="B33" s="178">
        <f t="shared" si="7"/>
        <v>3.2182228965598525</v>
      </c>
      <c r="C33" s="178">
        <f t="shared" si="2"/>
        <v>24.487816685330159</v>
      </c>
      <c r="D33" s="178">
        <f t="shared" si="3"/>
        <v>13.196165163454104</v>
      </c>
      <c r="E33" s="178">
        <f t="shared" si="8"/>
        <v>1.8556767350220447</v>
      </c>
      <c r="F33" s="178">
        <f t="shared" si="9"/>
        <v>1.5100855389026617</v>
      </c>
      <c r="G33" s="178">
        <f t="shared" si="4"/>
        <v>6.5786131466054698</v>
      </c>
      <c r="H33" s="178">
        <f t="shared" si="10"/>
        <v>2.2058180903511886</v>
      </c>
      <c r="I33" s="178">
        <f t="shared" si="11"/>
        <v>5.4240409869110415</v>
      </c>
      <c r="J33" s="179">
        <f t="shared" si="12"/>
        <v>-0.10187589035071554</v>
      </c>
      <c r="K33" s="179">
        <f t="shared" si="13"/>
        <v>2.0667763327544091E-2</v>
      </c>
      <c r="L33" s="179">
        <f t="shared" si="14"/>
        <v>2.2188538776072807E-2</v>
      </c>
      <c r="M33" s="179">
        <f t="shared" si="16"/>
        <v>5.7811461223927191E-2</v>
      </c>
      <c r="N33" s="179">
        <f t="shared" si="15"/>
        <v>1.7622092262312654</v>
      </c>
      <c r="O33" s="178">
        <f t="shared" si="17"/>
        <v>101.59214418514145</v>
      </c>
      <c r="P33" s="165"/>
      <c r="R33" s="160" t="s">
        <v>336</v>
      </c>
      <c r="S33" s="165">
        <f t="shared" si="5"/>
        <v>2.1285436105875055</v>
      </c>
      <c r="T33" s="160" t="s">
        <v>336</v>
      </c>
      <c r="U33" s="165">
        <f t="shared" si="6"/>
        <v>3.7517091701655261</v>
      </c>
    </row>
    <row r="34" spans="2:21" x14ac:dyDescent="0.3">
      <c r="B34" s="178">
        <f t="shared" si="7"/>
        <v>3.3491114482799271</v>
      </c>
      <c r="C34" s="178">
        <f t="shared" si="2"/>
        <v>25.702942436179399</v>
      </c>
      <c r="D34" s="178">
        <f t="shared" si="3"/>
        <v>13.488840862576689</v>
      </c>
      <c r="E34" s="178">
        <f t="shared" si="8"/>
        <v>1.9054967508356775</v>
      </c>
      <c r="F34" s="178">
        <f t="shared" si="9"/>
        <v>1.5369938923277606</v>
      </c>
      <c r="G34" s="178">
        <f t="shared" si="4"/>
        <v>6.267604309420217</v>
      </c>
      <c r="H34" s="178">
        <f t="shared" si="10"/>
        <v>2.0021846982396978</v>
      </c>
      <c r="I34" s="178">
        <f t="shared" si="11"/>
        <v>5.3512961465196245</v>
      </c>
      <c r="J34" s="179">
        <f t="shared" si="12"/>
        <v>-7.2744840391417043E-2</v>
      </c>
      <c r="K34" s="179">
        <f t="shared" si="13"/>
        <v>1.8108677622039816E-2</v>
      </c>
      <c r="L34" s="179">
        <f t="shared" si="14"/>
        <v>1.9388220474791953E-2</v>
      </c>
      <c r="M34" s="179">
        <f t="shared" si="16"/>
        <v>6.0611779525208048E-2</v>
      </c>
      <c r="N34" s="179">
        <f t="shared" si="15"/>
        <v>1.2001766151934696</v>
      </c>
      <c r="O34" s="178">
        <f t="shared" si="17"/>
        <v>102.79232080033492</v>
      </c>
    </row>
    <row r="35" spans="2:21" x14ac:dyDescent="0.3">
      <c r="B35" s="178">
        <f t="shared" si="7"/>
        <v>3.4800000000000018</v>
      </c>
      <c r="C35" s="178">
        <f t="shared" si="2"/>
        <v>26.935200000000016</v>
      </c>
      <c r="D35" s="178">
        <f t="shared" si="3"/>
        <v>13.781516561699274</v>
      </c>
      <c r="E35" s="178">
        <f t="shared" si="8"/>
        <v>1.9544438291252093</v>
      </c>
      <c r="F35" s="178">
        <f t="shared" si="9"/>
        <v>1.5632032963992493</v>
      </c>
      <c r="G35" s="178">
        <f t="shared" si="4"/>
        <v>5.980867889519204</v>
      </c>
      <c r="H35" s="178">
        <f t="shared" si="10"/>
        <v>1.8231794450500456</v>
      </c>
      <c r="I35" s="178">
        <f t="shared" si="11"/>
        <v>5.3031794450500476</v>
      </c>
      <c r="J35" s="179">
        <f t="shared" si="12"/>
        <v>-4.8116701469576917E-2</v>
      </c>
      <c r="K35" s="179">
        <f t="shared" si="13"/>
        <v>1.5941360176719977E-2</v>
      </c>
      <c r="L35" s="179">
        <f t="shared" si="14"/>
        <v>1.7025018899379896E-2</v>
      </c>
      <c r="M35" s="179">
        <f t="shared" si="16"/>
        <v>6.2974981100620109E-2</v>
      </c>
      <c r="N35" s="179">
        <f t="shared" si="15"/>
        <v>0.76406059404284787</v>
      </c>
      <c r="O35" s="178">
        <f t="shared" si="17"/>
        <v>103.55638139437777</v>
      </c>
      <c r="Q35" s="160" t="s">
        <v>337</v>
      </c>
    </row>
    <row r="36" spans="2:21" x14ac:dyDescent="0.3">
      <c r="B36" s="165"/>
      <c r="S36" s="160" t="str">
        <f>+IF(G5&gt;G6,"M","S")</f>
        <v>S</v>
      </c>
      <c r="T36" s="160" t="str">
        <f>+IF(G7&gt;G5,"1",IF(G5&gt;G7,"2","3"))</f>
        <v>1</v>
      </c>
    </row>
    <row r="38" spans="2:21" x14ac:dyDescent="0.3">
      <c r="B38" s="165"/>
    </row>
    <row r="39" spans="2:21" x14ac:dyDescent="0.3">
      <c r="B39" s="165"/>
    </row>
    <row r="40" spans="2:21" x14ac:dyDescent="0.3">
      <c r="B40" s="165"/>
    </row>
    <row r="41" spans="2:21" x14ac:dyDescent="0.3">
      <c r="B41" s="165"/>
    </row>
    <row r="42" spans="2:21" x14ac:dyDescent="0.3">
      <c r="B42" s="165"/>
    </row>
    <row r="58" spans="9:9" x14ac:dyDescent="0.3">
      <c r="I58" s="176"/>
    </row>
  </sheetData>
  <mergeCells count="2">
    <mergeCell ref="B2:O2"/>
    <mergeCell ref="B4:D4"/>
  </mergeCells>
  <phoneticPr fontId="2" type="noConversion"/>
  <pageMargins left="0.7" right="0.7" top="0.75" bottom="0.75" header="0.3" footer="0.3"/>
  <pageSetup scale="55" orientation="portrait" horizontalDpi="360" verticalDpi="36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K248"/>
  <sheetViews>
    <sheetView zoomScaleNormal="100" zoomScaleSheetLayoutView="95" workbookViewId="0"/>
  </sheetViews>
  <sheetFormatPr baseColWidth="10" defaultRowHeight="16.5" x14ac:dyDescent="0.3"/>
  <cols>
    <col min="1" max="1" width="11" style="100"/>
    <col min="2" max="2" width="25.125" style="100" customWidth="1"/>
    <col min="3" max="5" width="11" style="100"/>
    <col min="6" max="6" width="11.875" style="100" bestFit="1" customWidth="1"/>
    <col min="7" max="16384" width="11" style="100"/>
  </cols>
  <sheetData>
    <row r="2" spans="2:11" x14ac:dyDescent="0.3">
      <c r="B2" s="429" t="s">
        <v>377</v>
      </c>
      <c r="C2" s="430"/>
      <c r="D2" s="430"/>
      <c r="E2" s="430"/>
      <c r="F2" s="431"/>
    </row>
    <row r="3" spans="2:11" ht="17.25" thickBot="1" x14ac:dyDescent="0.35">
      <c r="B3" s="174"/>
      <c r="C3" s="174"/>
      <c r="D3" s="174"/>
      <c r="E3" s="174"/>
      <c r="F3" s="174"/>
    </row>
    <row r="4" spans="2:11" ht="14.25" customHeight="1" thickBot="1" x14ac:dyDescent="0.35">
      <c r="B4" s="439" t="s">
        <v>296</v>
      </c>
      <c r="C4" s="440"/>
      <c r="D4" s="441"/>
      <c r="E4" s="174"/>
      <c r="F4" s="174"/>
      <c r="G4" s="303"/>
      <c r="H4" s="303"/>
      <c r="I4" s="281"/>
      <c r="J4" s="280"/>
      <c r="K4" s="280"/>
    </row>
    <row r="5" spans="2:11" x14ac:dyDescent="0.3">
      <c r="B5" s="267" t="s">
        <v>420</v>
      </c>
      <c r="C5" s="282" t="s">
        <v>378</v>
      </c>
      <c r="D5" s="283">
        <v>30</v>
      </c>
      <c r="E5" s="174"/>
      <c r="F5" s="174"/>
      <c r="G5" s="303"/>
      <c r="H5" s="303"/>
      <c r="I5" s="281"/>
      <c r="J5" s="280"/>
      <c r="K5" s="280"/>
    </row>
    <row r="6" spans="2:11" x14ac:dyDescent="0.3">
      <c r="B6" s="268" t="s">
        <v>348</v>
      </c>
      <c r="C6" s="284" t="s">
        <v>379</v>
      </c>
      <c r="D6" s="285">
        <v>2400</v>
      </c>
      <c r="E6" s="174"/>
      <c r="F6" s="174"/>
      <c r="G6" s="303"/>
      <c r="H6" s="303"/>
      <c r="I6" s="281"/>
      <c r="J6" s="442"/>
      <c r="K6" s="442"/>
    </row>
    <row r="7" spans="2:11" ht="17.25" thickBot="1" x14ac:dyDescent="0.35">
      <c r="B7" s="269" t="s">
        <v>421</v>
      </c>
      <c r="C7" s="286" t="s">
        <v>380</v>
      </c>
      <c r="D7" s="287">
        <v>0</v>
      </c>
      <c r="E7" s="174"/>
      <c r="F7" s="174"/>
      <c r="G7" s="435"/>
      <c r="H7" s="435"/>
      <c r="I7" s="281"/>
      <c r="J7" s="281"/>
      <c r="K7" s="288"/>
    </row>
    <row r="8" spans="2:11" x14ac:dyDescent="0.3">
      <c r="B8" s="267" t="s">
        <v>420</v>
      </c>
      <c r="C8" s="282" t="s">
        <v>381</v>
      </c>
      <c r="D8" s="283">
        <v>45</v>
      </c>
      <c r="E8" s="174"/>
      <c r="F8" s="174"/>
      <c r="G8" s="435"/>
      <c r="H8" s="435"/>
      <c r="I8" s="281"/>
      <c r="J8" s="281"/>
      <c r="K8" s="288"/>
    </row>
    <row r="9" spans="2:11" x14ac:dyDescent="0.3">
      <c r="B9" s="268" t="s">
        <v>347</v>
      </c>
      <c r="C9" s="284" t="s">
        <v>379</v>
      </c>
      <c r="D9" s="285">
        <v>1500</v>
      </c>
      <c r="E9" s="174"/>
      <c r="F9" s="174"/>
      <c r="G9" s="435"/>
      <c r="H9" s="435"/>
      <c r="I9" s="281"/>
      <c r="J9" s="281"/>
      <c r="K9" s="288"/>
    </row>
    <row r="10" spans="2:11" ht="17.25" thickBot="1" x14ac:dyDescent="0.35">
      <c r="B10" s="269" t="s">
        <v>421</v>
      </c>
      <c r="C10" s="286" t="s">
        <v>382</v>
      </c>
      <c r="D10" s="287">
        <v>50</v>
      </c>
      <c r="E10" s="174"/>
      <c r="F10" s="174"/>
      <c r="G10" s="435"/>
      <c r="H10" s="435"/>
      <c r="I10" s="289"/>
      <c r="J10" s="290"/>
      <c r="K10" s="288"/>
    </row>
    <row r="11" spans="2:11" x14ac:dyDescent="0.3">
      <c r="B11" s="270"/>
      <c r="C11" s="291" t="s">
        <v>383</v>
      </c>
      <c r="D11" s="292">
        <f>D15+D15/3</f>
        <v>1</v>
      </c>
      <c r="E11" s="174"/>
      <c r="F11" s="174"/>
      <c r="G11" s="435"/>
      <c r="H11" s="435"/>
      <c r="I11" s="281"/>
      <c r="J11" s="289"/>
      <c r="K11" s="288"/>
    </row>
    <row r="12" spans="2:11" x14ac:dyDescent="0.3">
      <c r="B12" s="268" t="s">
        <v>425</v>
      </c>
      <c r="C12" s="284" t="s">
        <v>384</v>
      </c>
      <c r="D12" s="285">
        <v>0.9</v>
      </c>
      <c r="E12" s="174"/>
      <c r="F12" s="174"/>
      <c r="G12" s="303"/>
      <c r="H12" s="303"/>
      <c r="I12" s="281"/>
      <c r="J12" s="281"/>
      <c r="K12" s="288"/>
    </row>
    <row r="13" spans="2:11" x14ac:dyDescent="0.3">
      <c r="B13" s="271" t="s">
        <v>424</v>
      </c>
      <c r="C13" s="284" t="s">
        <v>385</v>
      </c>
      <c r="D13" s="293">
        <f>D12+D11</f>
        <v>1.9</v>
      </c>
      <c r="E13" s="174"/>
      <c r="F13" s="174"/>
      <c r="G13" s="303"/>
      <c r="H13" s="303"/>
      <c r="I13" s="281"/>
      <c r="J13" s="281"/>
      <c r="K13" s="288"/>
    </row>
    <row r="14" spans="2:11" x14ac:dyDescent="0.3">
      <c r="B14" s="268" t="s">
        <v>422</v>
      </c>
      <c r="C14" s="284" t="s">
        <v>386</v>
      </c>
      <c r="D14" s="285">
        <v>1000</v>
      </c>
      <c r="E14" s="174"/>
      <c r="F14" s="174"/>
      <c r="G14" s="303"/>
      <c r="H14" s="303"/>
      <c r="I14" s="281"/>
      <c r="J14" s="281"/>
      <c r="K14" s="288"/>
    </row>
    <row r="15" spans="2:11" x14ac:dyDescent="0.3">
      <c r="B15" s="268" t="s">
        <v>423</v>
      </c>
      <c r="C15" s="294" t="s">
        <v>387</v>
      </c>
      <c r="D15" s="293">
        <v>0.75</v>
      </c>
      <c r="E15" s="174"/>
      <c r="F15" s="174"/>
      <c r="G15" s="174"/>
    </row>
    <row r="16" spans="2:11" ht="17.25" thickBot="1" x14ac:dyDescent="0.35">
      <c r="B16" s="269"/>
      <c r="C16" s="286" t="s">
        <v>388</v>
      </c>
      <c r="D16" s="295">
        <v>1.5</v>
      </c>
      <c r="E16" s="174"/>
      <c r="F16" s="174"/>
      <c r="G16" s="174"/>
    </row>
    <row r="17" spans="2:8" x14ac:dyDescent="0.3">
      <c r="B17" s="174"/>
      <c r="C17" s="174"/>
      <c r="D17" s="174"/>
      <c r="E17" s="174"/>
      <c r="F17" s="174"/>
      <c r="G17" s="174"/>
    </row>
    <row r="18" spans="2:8" x14ac:dyDescent="0.3">
      <c r="B18" s="174"/>
      <c r="C18" s="280" t="s">
        <v>350</v>
      </c>
      <c r="D18" s="280"/>
      <c r="E18" s="174"/>
      <c r="F18" s="174"/>
      <c r="G18" s="174"/>
    </row>
    <row r="19" spans="2:8" x14ac:dyDescent="0.3">
      <c r="B19" s="174"/>
      <c r="C19" s="280"/>
      <c r="D19" s="280"/>
      <c r="E19" s="174"/>
      <c r="F19" s="174"/>
      <c r="G19" s="174"/>
    </row>
    <row r="20" spans="2:8" x14ac:dyDescent="0.3">
      <c r="B20" s="174"/>
      <c r="C20" s="296" t="s">
        <v>310</v>
      </c>
      <c r="D20" s="297">
        <v>6.25E-2</v>
      </c>
      <c r="E20" s="174"/>
      <c r="F20" s="174"/>
      <c r="G20" s="174"/>
    </row>
    <row r="21" spans="2:8" x14ac:dyDescent="0.3">
      <c r="B21" s="174"/>
      <c r="C21" s="174"/>
      <c r="D21" s="174"/>
      <c r="E21" s="174"/>
      <c r="F21" s="174"/>
      <c r="G21" s="174"/>
    </row>
    <row r="22" spans="2:8" s="298" customFormat="1" x14ac:dyDescent="0.3">
      <c r="B22" s="443" t="s">
        <v>351</v>
      </c>
      <c r="C22" s="443"/>
      <c r="D22" s="443"/>
      <c r="E22" s="443"/>
    </row>
    <row r="23" spans="2:8" s="160" customFormat="1" ht="17.25" thickBot="1" x14ac:dyDescent="0.35">
      <c r="B23" s="280"/>
      <c r="C23" s="280"/>
      <c r="D23" s="280"/>
      <c r="E23" s="280"/>
      <c r="F23" s="280"/>
      <c r="G23" s="280"/>
      <c r="H23" s="280"/>
    </row>
    <row r="24" spans="2:8" s="160" customFormat="1" x14ac:dyDescent="0.3">
      <c r="B24" s="299" t="s">
        <v>352</v>
      </c>
      <c r="C24" s="300"/>
      <c r="D24" s="300"/>
      <c r="E24" s="301"/>
      <c r="F24" s="280"/>
      <c r="G24" s="280"/>
      <c r="H24" s="280"/>
    </row>
    <row r="25" spans="2:8" s="160" customFormat="1" x14ac:dyDescent="0.3">
      <c r="B25" s="302"/>
      <c r="C25" s="303"/>
      <c r="D25" s="100"/>
      <c r="E25" s="304"/>
      <c r="F25" s="280"/>
      <c r="G25" s="280"/>
      <c r="H25" s="280"/>
    </row>
    <row r="26" spans="2:8" s="160" customFormat="1" x14ac:dyDescent="0.3">
      <c r="B26" s="305" t="s">
        <v>19</v>
      </c>
      <c r="C26" s="303">
        <f>D13*0.08</f>
        <v>0.152</v>
      </c>
      <c r="D26" s="303" t="s">
        <v>349</v>
      </c>
      <c r="E26" s="304"/>
      <c r="F26" s="280"/>
      <c r="G26" s="280"/>
      <c r="H26" s="280"/>
    </row>
    <row r="27" spans="2:8" s="160" customFormat="1" x14ac:dyDescent="0.3">
      <c r="B27" s="434" t="s">
        <v>353</v>
      </c>
      <c r="C27" s="435"/>
      <c r="D27" s="303"/>
      <c r="E27" s="304"/>
      <c r="F27" s="280"/>
      <c r="G27" s="280"/>
      <c r="H27" s="280"/>
    </row>
    <row r="28" spans="2:8" s="160" customFormat="1" ht="17.25" thickBot="1" x14ac:dyDescent="0.35">
      <c r="B28" s="306" t="s">
        <v>19</v>
      </c>
      <c r="C28" s="307">
        <f>IF(D13*0.08&gt;=0.3,C26,0.3)</f>
        <v>0.3</v>
      </c>
      <c r="D28" s="307" t="s">
        <v>427</v>
      </c>
      <c r="E28" s="308"/>
      <c r="F28" s="309"/>
      <c r="G28" s="280"/>
      <c r="H28" s="280"/>
    </row>
    <row r="29" spans="2:8" s="160" customFormat="1" x14ac:dyDescent="0.3">
      <c r="B29" s="280"/>
      <c r="C29" s="280"/>
      <c r="D29" s="280"/>
      <c r="E29" s="280"/>
      <c r="F29" s="280"/>
      <c r="G29" s="280"/>
      <c r="H29" s="280"/>
    </row>
    <row r="30" spans="2:8" s="160" customFormat="1" ht="17.25" thickBot="1" x14ac:dyDescent="0.35">
      <c r="B30" s="280"/>
      <c r="C30" s="280"/>
      <c r="D30" s="280"/>
      <c r="E30" s="280"/>
      <c r="F30" s="280"/>
      <c r="G30" s="280"/>
      <c r="H30" s="280"/>
    </row>
    <row r="31" spans="2:8" s="160" customFormat="1" x14ac:dyDescent="0.3">
      <c r="B31" s="310" t="s">
        <v>354</v>
      </c>
      <c r="C31" s="311"/>
      <c r="D31" s="300"/>
      <c r="E31" s="301"/>
      <c r="F31" s="280"/>
      <c r="G31" s="280"/>
      <c r="H31" s="280"/>
    </row>
    <row r="32" spans="2:8" s="160" customFormat="1" x14ac:dyDescent="0.3">
      <c r="B32" s="302"/>
      <c r="C32" s="303"/>
      <c r="D32" s="100"/>
      <c r="E32" s="304"/>
      <c r="F32" s="280"/>
      <c r="G32" s="280"/>
      <c r="H32" s="280"/>
    </row>
    <row r="33" spans="2:8" s="160" customFormat="1" x14ac:dyDescent="0.3">
      <c r="B33" s="305" t="s">
        <v>355</v>
      </c>
      <c r="C33" s="303">
        <f>0.12*D13</f>
        <v>0.22799999999999998</v>
      </c>
      <c r="D33" s="303" t="s">
        <v>349</v>
      </c>
      <c r="E33" s="304"/>
      <c r="F33" s="280"/>
      <c r="G33" s="280"/>
      <c r="H33" s="280"/>
    </row>
    <row r="34" spans="2:8" s="160" customFormat="1" x14ac:dyDescent="0.3">
      <c r="B34" s="305" t="s">
        <v>356</v>
      </c>
      <c r="C34" s="303">
        <f>0.16*D13</f>
        <v>0.30399999999999999</v>
      </c>
      <c r="D34" s="303" t="s">
        <v>349</v>
      </c>
      <c r="E34" s="304"/>
      <c r="F34" s="280"/>
      <c r="G34" s="280"/>
      <c r="H34" s="280"/>
    </row>
    <row r="35" spans="2:8" s="160" customFormat="1" x14ac:dyDescent="0.3">
      <c r="B35" s="305" t="s">
        <v>357</v>
      </c>
      <c r="C35" s="303">
        <f>0.14*D13</f>
        <v>0.26600000000000001</v>
      </c>
      <c r="D35" s="303" t="s">
        <v>349</v>
      </c>
      <c r="E35" s="304"/>
      <c r="F35" s="280"/>
      <c r="G35" s="280"/>
      <c r="H35" s="280"/>
    </row>
    <row r="36" spans="2:8" s="160" customFormat="1" x14ac:dyDescent="0.3">
      <c r="B36" s="312" t="s">
        <v>358</v>
      </c>
      <c r="C36" s="313"/>
      <c r="D36" s="303"/>
      <c r="E36" s="304"/>
      <c r="F36" s="280"/>
      <c r="G36" s="280"/>
      <c r="H36" s="280"/>
    </row>
    <row r="37" spans="2:8" s="160" customFormat="1" ht="17.25" thickBot="1" x14ac:dyDescent="0.35">
      <c r="B37" s="306" t="s">
        <v>359</v>
      </c>
      <c r="C37" s="307">
        <f>ROUND(MAX(C33:C35),1)</f>
        <v>0.3</v>
      </c>
      <c r="D37" s="307" t="s">
        <v>427</v>
      </c>
      <c r="E37" s="314"/>
      <c r="F37" s="280"/>
      <c r="G37" s="280"/>
      <c r="H37" s="280"/>
    </row>
    <row r="38" spans="2:8" s="160" customFormat="1" x14ac:dyDescent="0.3">
      <c r="B38" s="296"/>
      <c r="C38" s="280"/>
      <c r="D38" s="280"/>
      <c r="E38" s="280"/>
      <c r="F38" s="280"/>
      <c r="G38" s="280"/>
      <c r="H38" s="280"/>
    </row>
    <row r="39" spans="2:8" s="160" customFormat="1" ht="17.25" thickBot="1" x14ac:dyDescent="0.35">
      <c r="B39" s="296"/>
      <c r="C39" s="280"/>
      <c r="D39" s="280"/>
      <c r="E39" s="280"/>
      <c r="F39" s="280"/>
      <c r="G39" s="280"/>
      <c r="H39" s="280"/>
    </row>
    <row r="40" spans="2:8" s="160" customFormat="1" x14ac:dyDescent="0.3">
      <c r="B40" s="437" t="s">
        <v>360</v>
      </c>
      <c r="C40" s="438"/>
      <c r="D40" s="300"/>
      <c r="E40" s="301"/>
      <c r="F40" s="280"/>
      <c r="G40" s="280"/>
      <c r="H40" s="280"/>
    </row>
    <row r="41" spans="2:8" s="160" customFormat="1" x14ac:dyDescent="0.3">
      <c r="B41" s="302"/>
      <c r="C41" s="303"/>
      <c r="D41" s="303"/>
      <c r="E41" s="304"/>
      <c r="F41" s="280"/>
      <c r="G41" s="280"/>
      <c r="H41" s="280"/>
    </row>
    <row r="42" spans="2:8" s="160" customFormat="1" x14ac:dyDescent="0.3">
      <c r="B42" s="315" t="s">
        <v>361</v>
      </c>
      <c r="C42" s="303">
        <f>0.5*D13</f>
        <v>0.95</v>
      </c>
      <c r="D42" s="303" t="s">
        <v>349</v>
      </c>
      <c r="E42" s="304"/>
      <c r="F42" s="280"/>
      <c r="G42" s="280"/>
      <c r="H42" s="280"/>
    </row>
    <row r="43" spans="2:8" s="160" customFormat="1" x14ac:dyDescent="0.3">
      <c r="B43" s="315" t="s">
        <v>426</v>
      </c>
      <c r="C43" s="303">
        <f>0.75*D13</f>
        <v>1.4249999999999998</v>
      </c>
      <c r="D43" s="303" t="s">
        <v>349</v>
      </c>
      <c r="E43" s="304"/>
      <c r="F43" s="280"/>
      <c r="G43" s="280"/>
      <c r="H43" s="280"/>
    </row>
    <row r="44" spans="2:8" s="160" customFormat="1" x14ac:dyDescent="0.3">
      <c r="B44" s="305" t="s">
        <v>362</v>
      </c>
      <c r="C44" s="303">
        <f>(0.5+0.75)/2*D13</f>
        <v>1.1875</v>
      </c>
      <c r="D44" s="303" t="s">
        <v>349</v>
      </c>
      <c r="E44" s="304"/>
      <c r="F44" s="280"/>
      <c r="G44" s="280"/>
      <c r="H44" s="280"/>
    </row>
    <row r="45" spans="2:8" s="160" customFormat="1" x14ac:dyDescent="0.3">
      <c r="B45" s="312" t="s">
        <v>358</v>
      </c>
      <c r="C45" s="313"/>
      <c r="D45" s="303"/>
      <c r="E45" s="304"/>
      <c r="F45" s="280"/>
      <c r="G45" s="280"/>
      <c r="H45" s="280"/>
    </row>
    <row r="46" spans="2:8" s="160" customFormat="1" ht="17.25" thickBot="1" x14ac:dyDescent="0.35">
      <c r="B46" s="306" t="s">
        <v>30</v>
      </c>
      <c r="C46" s="307">
        <f>ROUND(MAX(C42:C44),1)</f>
        <v>1.4</v>
      </c>
      <c r="D46" s="307" t="s">
        <v>427</v>
      </c>
      <c r="E46" s="308"/>
      <c r="F46" s="280"/>
      <c r="G46" s="280"/>
      <c r="H46" s="280"/>
    </row>
    <row r="47" spans="2:8" s="160" customFormat="1" x14ac:dyDescent="0.3">
      <c r="B47" s="296"/>
      <c r="C47" s="280"/>
      <c r="D47" s="280"/>
      <c r="E47" s="280"/>
      <c r="F47" s="280"/>
      <c r="G47" s="280"/>
      <c r="H47" s="280"/>
    </row>
    <row r="48" spans="2:8" s="160" customFormat="1" ht="17.25" thickBot="1" x14ac:dyDescent="0.35">
      <c r="B48" s="296"/>
      <c r="C48" s="309"/>
      <c r="D48" s="309"/>
      <c r="E48" s="309"/>
      <c r="F48" s="280"/>
      <c r="G48" s="280"/>
      <c r="H48" s="280"/>
    </row>
    <row r="49" spans="2:8" s="160" customFormat="1" x14ac:dyDescent="0.3">
      <c r="B49" s="437" t="s">
        <v>363</v>
      </c>
      <c r="C49" s="438"/>
      <c r="D49" s="316"/>
      <c r="E49" s="317"/>
      <c r="F49" s="280"/>
      <c r="G49" s="280"/>
      <c r="H49" s="280"/>
    </row>
    <row r="50" spans="2:8" s="160" customFormat="1" x14ac:dyDescent="0.3">
      <c r="B50" s="302"/>
      <c r="C50" s="318"/>
      <c r="D50" s="318"/>
      <c r="E50" s="319"/>
      <c r="F50" s="280"/>
      <c r="G50" s="280"/>
      <c r="H50" s="280"/>
    </row>
    <row r="51" spans="2:8" s="160" customFormat="1" x14ac:dyDescent="0.3">
      <c r="B51" s="305" t="s">
        <v>364</v>
      </c>
      <c r="C51" s="303">
        <f>0.5*C37</f>
        <v>0.15</v>
      </c>
      <c r="D51" s="318"/>
      <c r="E51" s="319"/>
      <c r="F51" s="280"/>
      <c r="G51" s="280"/>
      <c r="H51" s="280"/>
    </row>
    <row r="52" spans="2:8" s="160" customFormat="1" x14ac:dyDescent="0.3">
      <c r="B52" s="434" t="s">
        <v>358</v>
      </c>
      <c r="C52" s="435"/>
      <c r="D52" s="303"/>
      <c r="E52" s="304"/>
      <c r="F52" s="280"/>
      <c r="G52" s="280"/>
      <c r="H52" s="280"/>
    </row>
    <row r="53" spans="2:8" s="160" customFormat="1" x14ac:dyDescent="0.3">
      <c r="B53" s="315" t="s">
        <v>364</v>
      </c>
      <c r="C53" s="318">
        <f>ROUND(MAX(C51),1)</f>
        <v>0.2</v>
      </c>
      <c r="D53" s="318" t="s">
        <v>427</v>
      </c>
      <c r="E53" s="304"/>
      <c r="F53" s="280"/>
      <c r="G53" s="280"/>
      <c r="H53" s="280"/>
    </row>
    <row r="54" spans="2:8" s="160" customFormat="1" x14ac:dyDescent="0.3">
      <c r="B54" s="315"/>
      <c r="C54" s="318"/>
      <c r="D54" s="318"/>
      <c r="E54" s="304"/>
      <c r="F54" s="280"/>
      <c r="G54" s="280"/>
      <c r="H54" s="280"/>
    </row>
    <row r="55" spans="2:8" s="160" customFormat="1" x14ac:dyDescent="0.3">
      <c r="B55" s="305"/>
      <c r="C55" s="303"/>
      <c r="D55" s="303"/>
      <c r="E55" s="304"/>
      <c r="F55" s="280"/>
      <c r="G55" s="280"/>
      <c r="H55" s="280"/>
    </row>
    <row r="56" spans="2:8" s="160" customFormat="1" x14ac:dyDescent="0.3">
      <c r="B56" s="312" t="s">
        <v>358</v>
      </c>
      <c r="C56" s="313"/>
      <c r="D56" s="303"/>
      <c r="E56" s="304"/>
      <c r="F56" s="280"/>
      <c r="G56" s="280"/>
      <c r="H56" s="280"/>
    </row>
    <row r="57" spans="2:8" s="160" customFormat="1" x14ac:dyDescent="0.3">
      <c r="B57" s="315" t="s">
        <v>365</v>
      </c>
      <c r="C57" s="318">
        <v>0.3</v>
      </c>
      <c r="D57" s="318" t="s">
        <v>427</v>
      </c>
      <c r="E57" s="304"/>
      <c r="F57" s="280"/>
      <c r="G57" s="280"/>
      <c r="H57" s="280"/>
    </row>
    <row r="58" spans="2:8" s="160" customFormat="1" x14ac:dyDescent="0.3">
      <c r="B58" s="305"/>
      <c r="C58" s="303"/>
      <c r="D58" s="303"/>
      <c r="E58" s="304"/>
      <c r="F58" s="280"/>
      <c r="G58" s="280"/>
      <c r="H58" s="280"/>
    </row>
    <row r="59" spans="2:8" s="160" customFormat="1" x14ac:dyDescent="0.3">
      <c r="B59" s="305" t="s">
        <v>366</v>
      </c>
      <c r="C59" s="320" t="s">
        <v>367</v>
      </c>
      <c r="D59" s="318">
        <f>ROUND(C28+D20,1)</f>
        <v>0.4</v>
      </c>
      <c r="E59" s="319" t="s">
        <v>349</v>
      </c>
      <c r="F59" s="280"/>
      <c r="G59" s="280"/>
      <c r="H59" s="280"/>
    </row>
    <row r="60" spans="2:8" s="160" customFormat="1" x14ac:dyDescent="0.3">
      <c r="B60" s="305"/>
      <c r="C60" s="320" t="s">
        <v>368</v>
      </c>
      <c r="D60" s="318">
        <f>ROUND(C46-C53-C57-D59,1)</f>
        <v>0.5</v>
      </c>
      <c r="E60" s="319" t="s">
        <v>349</v>
      </c>
      <c r="F60" s="280"/>
      <c r="G60" s="280"/>
      <c r="H60" s="280"/>
    </row>
    <row r="61" spans="2:8" s="160" customFormat="1" ht="17.25" thickBot="1" x14ac:dyDescent="0.35">
      <c r="B61" s="321"/>
      <c r="C61" s="322" t="s">
        <v>159</v>
      </c>
      <c r="D61" s="307">
        <f>ROUND($D$13-C37,1)</f>
        <v>1.6</v>
      </c>
      <c r="E61" s="308" t="s">
        <v>349</v>
      </c>
      <c r="F61" s="280"/>
      <c r="G61" s="280"/>
      <c r="H61" s="280"/>
    </row>
    <row r="62" spans="2:8" x14ac:dyDescent="0.3">
      <c r="B62" s="174"/>
      <c r="C62" s="174"/>
      <c r="D62" s="174"/>
      <c r="E62" s="174"/>
      <c r="F62" s="174"/>
      <c r="G62" s="174"/>
    </row>
    <row r="63" spans="2:8" x14ac:dyDescent="0.3">
      <c r="B63" s="174"/>
      <c r="C63" s="174"/>
      <c r="D63" s="174"/>
      <c r="E63" s="174"/>
      <c r="F63" s="174"/>
      <c r="G63" s="174"/>
    </row>
    <row r="64" spans="2:8" x14ac:dyDescent="0.3">
      <c r="B64" s="174"/>
      <c r="C64" s="174"/>
      <c r="D64" s="174"/>
      <c r="E64" s="174"/>
      <c r="F64" s="174"/>
      <c r="G64" s="174"/>
    </row>
    <row r="65" spans="2:8" x14ac:dyDescent="0.3">
      <c r="B65" s="424" t="s">
        <v>389</v>
      </c>
      <c r="C65" s="424"/>
      <c r="D65" s="424"/>
      <c r="E65" s="424"/>
      <c r="F65" s="424"/>
      <c r="G65" s="174"/>
    </row>
    <row r="66" spans="2:8" x14ac:dyDescent="0.3">
      <c r="B66" s="174"/>
      <c r="C66" s="174"/>
      <c r="D66" s="174"/>
      <c r="E66" s="174"/>
      <c r="F66" s="174"/>
      <c r="G66" s="174"/>
    </row>
    <row r="67" spans="2:8" x14ac:dyDescent="0.3">
      <c r="B67" s="424" t="s">
        <v>390</v>
      </c>
      <c r="C67" s="424"/>
      <c r="D67" s="424"/>
      <c r="E67" s="424"/>
      <c r="F67" s="424"/>
      <c r="G67" s="174"/>
    </row>
    <row r="68" spans="2:8" x14ac:dyDescent="0.3">
      <c r="B68" s="174"/>
      <c r="C68" s="174"/>
      <c r="D68" s="174"/>
      <c r="E68" s="174"/>
      <c r="F68" s="174"/>
      <c r="G68" s="174"/>
    </row>
    <row r="69" spans="2:8" x14ac:dyDescent="0.3">
      <c r="B69" s="174"/>
      <c r="C69" s="275" t="s">
        <v>391</v>
      </c>
      <c r="D69" s="323">
        <f>C28</f>
        <v>0.3</v>
      </c>
      <c r="E69" s="174" t="s">
        <v>392</v>
      </c>
      <c r="F69" s="174"/>
      <c r="G69" s="174"/>
    </row>
    <row r="70" spans="2:8" x14ac:dyDescent="0.3">
      <c r="B70" s="174"/>
      <c r="C70" s="275" t="s">
        <v>393</v>
      </c>
      <c r="D70" s="323">
        <f>C37</f>
        <v>0.3</v>
      </c>
      <c r="E70" s="174" t="s">
        <v>429</v>
      </c>
      <c r="F70" s="174"/>
      <c r="G70" s="174"/>
    </row>
    <row r="71" spans="2:8" x14ac:dyDescent="0.3">
      <c r="B71" s="174"/>
      <c r="C71" s="275" t="s">
        <v>394</v>
      </c>
      <c r="D71" s="324">
        <v>0.5</v>
      </c>
      <c r="E71" s="174" t="s">
        <v>429</v>
      </c>
      <c r="F71" s="174"/>
      <c r="G71" s="174"/>
    </row>
    <row r="72" spans="2:8" x14ac:dyDescent="0.3">
      <c r="B72" s="174"/>
      <c r="C72" s="275" t="s">
        <v>395</v>
      </c>
      <c r="D72" s="323">
        <f>C46</f>
        <v>1.4</v>
      </c>
      <c r="E72" s="174" t="s">
        <v>428</v>
      </c>
      <c r="F72" s="174"/>
      <c r="G72" s="174"/>
    </row>
    <row r="73" spans="2:8" x14ac:dyDescent="0.3">
      <c r="B73" s="174"/>
      <c r="C73" s="174"/>
      <c r="D73" s="174"/>
      <c r="E73" s="174"/>
      <c r="F73" s="174"/>
      <c r="G73" s="174"/>
    </row>
    <row r="74" spans="2:8" x14ac:dyDescent="0.3">
      <c r="B74" s="424" t="s">
        <v>431</v>
      </c>
      <c r="C74" s="424"/>
      <c r="D74" s="424"/>
      <c r="E74" s="424"/>
      <c r="F74" s="424"/>
      <c r="G74" s="174"/>
    </row>
    <row r="75" spans="2:8" x14ac:dyDescent="0.3">
      <c r="B75" s="174"/>
      <c r="C75" s="174"/>
      <c r="D75" s="174"/>
      <c r="E75" s="174"/>
      <c r="F75" s="174"/>
      <c r="G75" s="174"/>
    </row>
    <row r="76" spans="2:8" x14ac:dyDescent="0.3">
      <c r="B76" s="174"/>
      <c r="C76" s="174"/>
      <c r="D76" s="174"/>
      <c r="E76" s="213" t="s">
        <v>396</v>
      </c>
      <c r="F76" s="214">
        <f>POWER(TAN((45-D5/2)*PI()/180),2)</f>
        <v>0.33333333333333331</v>
      </c>
    </row>
    <row r="77" spans="2:8" x14ac:dyDescent="0.3">
      <c r="B77" s="174"/>
      <c r="C77" s="174"/>
      <c r="D77" s="174"/>
      <c r="E77" s="325"/>
      <c r="F77" s="326"/>
      <c r="G77" s="174"/>
    </row>
    <row r="78" spans="2:8" x14ac:dyDescent="0.3">
      <c r="B78" s="174"/>
      <c r="C78" s="174"/>
      <c r="D78" s="174"/>
      <c r="E78" s="174"/>
      <c r="F78" s="174"/>
      <c r="G78" s="174"/>
    </row>
    <row r="79" spans="2:8" x14ac:dyDescent="0.3">
      <c r="B79" s="424" t="s">
        <v>432</v>
      </c>
      <c r="C79" s="424"/>
      <c r="D79" s="424"/>
      <c r="E79" s="424"/>
      <c r="F79" s="424"/>
      <c r="G79" s="174"/>
      <c r="H79" s="327"/>
    </row>
    <row r="80" spans="2:8" x14ac:dyDescent="0.3">
      <c r="B80" s="174"/>
      <c r="C80" s="174"/>
      <c r="D80" s="174"/>
      <c r="E80" s="174"/>
      <c r="F80" s="174"/>
      <c r="G80" s="174"/>
    </row>
    <row r="81" spans="2:7" x14ac:dyDescent="0.3">
      <c r="B81" s="174"/>
      <c r="C81" s="174"/>
      <c r="D81" s="174"/>
      <c r="E81" s="213" t="s">
        <v>397</v>
      </c>
      <c r="F81" s="214">
        <f>D6*POWER(D13,2)*F76/2</f>
        <v>1444</v>
      </c>
      <c r="G81" s="174"/>
    </row>
    <row r="82" spans="2:7" x14ac:dyDescent="0.3">
      <c r="B82" s="174"/>
      <c r="C82" s="174"/>
      <c r="D82" s="174"/>
      <c r="E82" s="325"/>
      <c r="F82" s="326"/>
      <c r="G82" s="174"/>
    </row>
    <row r="83" spans="2:7" x14ac:dyDescent="0.3">
      <c r="B83" s="174"/>
      <c r="C83" s="174"/>
      <c r="D83" s="174"/>
      <c r="E83" s="174"/>
      <c r="F83" s="174"/>
      <c r="G83" s="174"/>
    </row>
    <row r="84" spans="2:7" x14ac:dyDescent="0.3">
      <c r="B84" s="424" t="s">
        <v>398</v>
      </c>
      <c r="C84" s="424"/>
      <c r="D84" s="424"/>
      <c r="E84" s="424"/>
      <c r="F84" s="424"/>
      <c r="G84" s="174"/>
    </row>
    <row r="85" spans="2:7" x14ac:dyDescent="0.3">
      <c r="B85" s="174"/>
      <c r="C85" s="174"/>
      <c r="D85" s="174"/>
      <c r="E85" s="174"/>
      <c r="F85" s="174"/>
      <c r="G85" s="174"/>
    </row>
    <row r="86" spans="2:7" x14ac:dyDescent="0.3">
      <c r="B86" s="174"/>
      <c r="C86" s="213" t="s">
        <v>399</v>
      </c>
      <c r="D86" s="214">
        <f>(D14*1*POWER(D15,2))/2</f>
        <v>281.25</v>
      </c>
      <c r="E86" s="174"/>
      <c r="F86" s="174"/>
      <c r="G86" s="174"/>
    </row>
    <row r="87" spans="2:7" x14ac:dyDescent="0.3">
      <c r="B87" s="174"/>
      <c r="C87" s="174"/>
      <c r="D87" s="272"/>
      <c r="E87" s="174"/>
      <c r="F87" s="174"/>
      <c r="G87" s="174"/>
    </row>
    <row r="88" spans="2:7" x14ac:dyDescent="0.3">
      <c r="B88" s="424" t="s">
        <v>400</v>
      </c>
      <c r="C88" s="424"/>
      <c r="D88" s="424"/>
      <c r="E88" s="424"/>
      <c r="F88" s="424"/>
      <c r="G88" s="174"/>
    </row>
    <row r="89" spans="2:7" ht="17.25" thickBot="1" x14ac:dyDescent="0.35">
      <c r="B89" s="174"/>
      <c r="C89" s="174"/>
      <c r="D89" s="272"/>
      <c r="E89" s="174"/>
      <c r="F89" s="174"/>
      <c r="G89" s="174"/>
    </row>
    <row r="90" spans="2:7" ht="17.25" thickTop="1" x14ac:dyDescent="0.3">
      <c r="B90" s="427" t="s">
        <v>369</v>
      </c>
      <c r="C90" s="428"/>
      <c r="D90" s="328" t="s">
        <v>370</v>
      </c>
      <c r="E90" s="328"/>
      <c r="F90" s="329" t="s">
        <v>371</v>
      </c>
    </row>
    <row r="91" spans="2:7" x14ac:dyDescent="0.3">
      <c r="B91" s="330" t="s">
        <v>433</v>
      </c>
      <c r="C91" s="331">
        <f>C37*C46*D6</f>
        <v>1008</v>
      </c>
      <c r="D91" s="425">
        <f>C46/2</f>
        <v>0.7</v>
      </c>
      <c r="E91" s="425"/>
      <c r="F91" s="332">
        <f>C91*D91</f>
        <v>705.59999999999991</v>
      </c>
    </row>
    <row r="92" spans="2:7" x14ac:dyDescent="0.3">
      <c r="B92" s="330" t="s">
        <v>372</v>
      </c>
      <c r="C92" s="331">
        <f>(D59*(D59-C28)/2)*D6</f>
        <v>48.000000000000014</v>
      </c>
      <c r="D92" s="433">
        <f>(D59-C28)/3+C53</f>
        <v>0.23333333333333336</v>
      </c>
      <c r="E92" s="433"/>
      <c r="F92" s="332">
        <f>C92*D92</f>
        <v>11.200000000000005</v>
      </c>
    </row>
    <row r="93" spans="2:7" x14ac:dyDescent="0.3">
      <c r="B93" s="330" t="s">
        <v>373</v>
      </c>
      <c r="C93" s="331">
        <f>D6*C53*D61</f>
        <v>768</v>
      </c>
      <c r="D93" s="436">
        <f>C28/2+(D59-C28)+C53</f>
        <v>0.45</v>
      </c>
      <c r="E93" s="436"/>
      <c r="F93" s="332">
        <f>C93*D93</f>
        <v>345.6</v>
      </c>
    </row>
    <row r="94" spans="2:7" x14ac:dyDescent="0.3">
      <c r="B94" s="330" t="s">
        <v>374</v>
      </c>
      <c r="C94" s="331">
        <f>D61*D60/2*D6</f>
        <v>960</v>
      </c>
      <c r="D94" s="433">
        <f>2/3*D60+C53+D59</f>
        <v>0.93333333333333335</v>
      </c>
      <c r="E94" s="433"/>
      <c r="F94" s="332">
        <f>C94*D94</f>
        <v>896</v>
      </c>
    </row>
    <row r="95" spans="2:7" x14ac:dyDescent="0.3">
      <c r="B95" s="330" t="s">
        <v>375</v>
      </c>
      <c r="C95" s="331">
        <f>C57*D61*D6</f>
        <v>1152</v>
      </c>
      <c r="D95" s="425">
        <f>C57/2+D60+D59+C53</f>
        <v>1.25</v>
      </c>
      <c r="E95" s="425"/>
      <c r="F95" s="332">
        <f>C95*D95</f>
        <v>1440</v>
      </c>
    </row>
    <row r="96" spans="2:7" ht="17.25" thickBot="1" x14ac:dyDescent="0.35">
      <c r="B96" s="333" t="s">
        <v>376</v>
      </c>
      <c r="C96" s="334">
        <f>SUM(C91:C95)</f>
        <v>3936</v>
      </c>
      <c r="D96" s="426"/>
      <c r="E96" s="426"/>
      <c r="F96" s="335">
        <f>SUM(F91:F95)</f>
        <v>3398.4</v>
      </c>
      <c r="G96" s="273"/>
    </row>
    <row r="97" spans="2:7" ht="17.25" thickTop="1" x14ac:dyDescent="0.3">
      <c r="B97" s="336"/>
      <c r="C97" s="336"/>
      <c r="D97" s="336"/>
      <c r="E97" s="336"/>
      <c r="F97" s="336"/>
      <c r="G97" s="273"/>
    </row>
    <row r="98" spans="2:7" x14ac:dyDescent="0.3">
      <c r="B98" s="424" t="s">
        <v>401</v>
      </c>
      <c r="C98" s="424"/>
      <c r="D98" s="424"/>
      <c r="E98" s="424"/>
      <c r="F98" s="424"/>
      <c r="G98" s="174"/>
    </row>
    <row r="99" spans="2:7" x14ac:dyDescent="0.3">
      <c r="B99" s="174"/>
      <c r="C99" s="174"/>
      <c r="D99" s="174"/>
      <c r="E99" s="272"/>
      <c r="F99" s="174"/>
      <c r="G99" s="272"/>
    </row>
    <row r="100" spans="2:7" x14ac:dyDescent="0.3">
      <c r="B100" s="174"/>
      <c r="C100" s="213" t="s">
        <v>402</v>
      </c>
      <c r="D100" s="214">
        <f>D86*D15/3</f>
        <v>70.3125</v>
      </c>
      <c r="E100" s="272"/>
      <c r="F100" s="174"/>
      <c r="G100" s="272"/>
    </row>
    <row r="101" spans="2:7" x14ac:dyDescent="0.3">
      <c r="B101" s="174"/>
      <c r="C101" s="174"/>
      <c r="D101" s="174"/>
      <c r="E101" s="174"/>
      <c r="F101" s="174"/>
      <c r="G101" s="174"/>
    </row>
    <row r="102" spans="2:7" x14ac:dyDescent="0.3">
      <c r="B102" s="424" t="s">
        <v>403</v>
      </c>
      <c r="C102" s="424"/>
      <c r="D102" s="424"/>
      <c r="E102" s="424"/>
      <c r="F102" s="424"/>
      <c r="G102" s="174"/>
    </row>
    <row r="103" spans="2:7" x14ac:dyDescent="0.3">
      <c r="B103" s="174"/>
      <c r="C103" s="174"/>
      <c r="D103" s="174"/>
      <c r="E103" s="174"/>
      <c r="F103" s="174"/>
      <c r="G103" s="174"/>
    </row>
    <row r="104" spans="2:7" x14ac:dyDescent="0.3">
      <c r="B104" s="174"/>
      <c r="C104" s="213" t="s">
        <v>404</v>
      </c>
      <c r="D104" s="214">
        <f>D100+F96</f>
        <v>3468.7125000000001</v>
      </c>
      <c r="E104" s="174"/>
      <c r="F104" s="174"/>
      <c r="G104" s="174"/>
    </row>
    <row r="105" spans="2:7" x14ac:dyDescent="0.3">
      <c r="B105" s="174"/>
      <c r="C105" s="174"/>
      <c r="D105" s="174"/>
      <c r="E105" s="174"/>
      <c r="F105" s="174"/>
      <c r="G105" s="174"/>
    </row>
    <row r="106" spans="2:7" x14ac:dyDescent="0.3">
      <c r="B106" s="424" t="s">
        <v>405</v>
      </c>
      <c r="C106" s="424"/>
      <c r="D106" s="424"/>
      <c r="E106" s="424"/>
      <c r="F106" s="424"/>
      <c r="G106" s="174"/>
    </row>
    <row r="107" spans="2:7" x14ac:dyDescent="0.3">
      <c r="B107" s="174"/>
      <c r="C107" s="174"/>
      <c r="D107" s="174"/>
      <c r="E107" s="174"/>
      <c r="F107" s="174"/>
      <c r="G107" s="174"/>
    </row>
    <row r="108" spans="2:7" x14ac:dyDescent="0.3">
      <c r="B108" s="174"/>
      <c r="C108" s="174"/>
      <c r="D108" s="174"/>
      <c r="E108" s="174"/>
      <c r="F108" s="174"/>
      <c r="G108" s="174"/>
    </row>
    <row r="109" spans="2:7" x14ac:dyDescent="0.3">
      <c r="B109" s="174"/>
      <c r="C109" s="174"/>
      <c r="D109" s="174"/>
      <c r="E109" s="274" t="s">
        <v>406</v>
      </c>
      <c r="F109" s="273">
        <f>F81*D13/3</f>
        <v>914.5333333333333</v>
      </c>
      <c r="G109" s="174"/>
    </row>
    <row r="110" spans="2:7" x14ac:dyDescent="0.3">
      <c r="B110" s="174"/>
      <c r="C110" s="174"/>
      <c r="D110" s="174"/>
      <c r="E110" s="174"/>
      <c r="F110" s="174"/>
      <c r="G110" s="174"/>
    </row>
    <row r="111" spans="2:7" x14ac:dyDescent="0.3">
      <c r="B111" s="174"/>
      <c r="C111" s="174"/>
      <c r="D111" s="174"/>
      <c r="E111" s="174"/>
      <c r="F111" s="174"/>
      <c r="G111" s="174"/>
    </row>
    <row r="112" spans="2:7" x14ac:dyDescent="0.3">
      <c r="B112" s="424" t="s">
        <v>479</v>
      </c>
      <c r="C112" s="424"/>
      <c r="D112" s="424"/>
      <c r="E112" s="424"/>
      <c r="F112" s="424"/>
      <c r="G112" s="174"/>
    </row>
    <row r="113" spans="2:7" x14ac:dyDescent="0.3">
      <c r="B113" s="174"/>
      <c r="C113" s="174"/>
      <c r="D113" s="174"/>
      <c r="E113" s="174"/>
      <c r="F113" s="174"/>
      <c r="G113" s="174"/>
    </row>
    <row r="114" spans="2:7" x14ac:dyDescent="0.3">
      <c r="B114" s="174"/>
      <c r="C114" s="213" t="s">
        <v>407</v>
      </c>
      <c r="D114" s="214">
        <f>ROUND(D104/F109,2)</f>
        <v>3.79</v>
      </c>
      <c r="E114" s="214" t="s">
        <v>408</v>
      </c>
      <c r="F114" s="174"/>
      <c r="G114" s="174"/>
    </row>
    <row r="115" spans="2:7" x14ac:dyDescent="0.3">
      <c r="B115" s="174"/>
      <c r="C115" s="174"/>
      <c r="D115" s="174"/>
      <c r="E115" s="174"/>
      <c r="F115" s="174"/>
      <c r="G115" s="174"/>
    </row>
    <row r="116" spans="2:7" x14ac:dyDescent="0.3">
      <c r="B116" s="174"/>
      <c r="C116" s="174"/>
      <c r="D116" s="174"/>
      <c r="E116" s="174"/>
      <c r="F116" s="174"/>
      <c r="G116" s="174"/>
    </row>
    <row r="117" spans="2:7" x14ac:dyDescent="0.3">
      <c r="B117" s="174" t="s">
        <v>434</v>
      </c>
      <c r="C117" s="174"/>
      <c r="D117" s="174"/>
      <c r="E117" s="174"/>
      <c r="F117" s="174"/>
      <c r="G117" s="174"/>
    </row>
    <row r="118" spans="2:7" x14ac:dyDescent="0.3">
      <c r="B118" s="174" t="s">
        <v>435</v>
      </c>
      <c r="C118" s="174"/>
      <c r="D118" s="174"/>
      <c r="E118" s="174"/>
      <c r="F118" s="174"/>
      <c r="G118" s="174"/>
    </row>
    <row r="119" spans="2:7" x14ac:dyDescent="0.3">
      <c r="B119" s="174" t="s">
        <v>436</v>
      </c>
      <c r="C119" s="174"/>
      <c r="D119" s="174"/>
      <c r="E119" s="174"/>
      <c r="F119" s="174"/>
      <c r="G119" s="174"/>
    </row>
    <row r="120" spans="2:7" x14ac:dyDescent="0.3">
      <c r="B120" s="174" t="s">
        <v>437</v>
      </c>
      <c r="C120" s="174"/>
      <c r="D120" s="174"/>
      <c r="E120" s="174"/>
      <c r="F120" s="174"/>
      <c r="G120" s="174"/>
    </row>
    <row r="121" spans="2:7" x14ac:dyDescent="0.3">
      <c r="B121" s="174"/>
      <c r="C121" s="174"/>
      <c r="D121" s="174"/>
      <c r="E121" s="174"/>
      <c r="F121" s="174"/>
      <c r="G121" s="174"/>
    </row>
    <row r="122" spans="2:7" x14ac:dyDescent="0.3">
      <c r="B122" s="424" t="s">
        <v>409</v>
      </c>
      <c r="C122" s="424"/>
      <c r="D122" s="424"/>
      <c r="E122" s="424"/>
      <c r="F122" s="424"/>
      <c r="G122" s="174"/>
    </row>
    <row r="123" spans="2:7" x14ac:dyDescent="0.3">
      <c r="B123" s="174"/>
      <c r="C123" s="174"/>
      <c r="D123" s="174"/>
      <c r="E123" s="174"/>
      <c r="F123" s="174"/>
      <c r="G123" s="174"/>
    </row>
    <row r="124" spans="2:7" x14ac:dyDescent="0.3">
      <c r="B124" s="174"/>
      <c r="C124" s="174"/>
      <c r="D124" s="174"/>
      <c r="E124" s="174"/>
      <c r="F124" s="174"/>
      <c r="G124" s="174"/>
    </row>
    <row r="125" spans="2:7" x14ac:dyDescent="0.3">
      <c r="B125" s="174"/>
      <c r="C125" s="174"/>
      <c r="D125" s="174"/>
      <c r="E125" s="174"/>
      <c r="F125" s="174"/>
      <c r="G125" s="174"/>
    </row>
    <row r="126" spans="2:7" x14ac:dyDescent="0.3">
      <c r="B126" s="174"/>
      <c r="C126" s="174"/>
      <c r="D126" s="174"/>
      <c r="E126" s="174"/>
      <c r="F126" s="174"/>
      <c r="G126" s="174"/>
    </row>
    <row r="127" spans="2:7" x14ac:dyDescent="0.3">
      <c r="B127" s="174"/>
      <c r="C127" s="174"/>
      <c r="D127" s="174"/>
      <c r="E127" s="174"/>
      <c r="F127" s="174"/>
      <c r="G127" s="174"/>
    </row>
    <row r="128" spans="2:7" x14ac:dyDescent="0.3">
      <c r="B128" s="174"/>
      <c r="C128" s="126" t="s">
        <v>296</v>
      </c>
      <c r="D128" s="174"/>
      <c r="E128" s="337"/>
      <c r="F128" s="174"/>
      <c r="G128" s="174"/>
    </row>
    <row r="129" spans="2:7" x14ac:dyDescent="0.3">
      <c r="B129" s="174"/>
      <c r="C129" s="174"/>
      <c r="D129" s="275" t="s">
        <v>410</v>
      </c>
      <c r="E129" s="275">
        <f>2/3</f>
        <v>0.66666666666666663</v>
      </c>
      <c r="F129" s="174"/>
      <c r="G129" s="174"/>
    </row>
    <row r="130" spans="2:7" x14ac:dyDescent="0.3">
      <c r="B130" s="174"/>
      <c r="C130" s="174"/>
      <c r="D130" s="275" t="s">
        <v>411</v>
      </c>
      <c r="E130" s="275">
        <f>2/3</f>
        <v>0.66666666666666663</v>
      </c>
      <c r="F130" s="174"/>
      <c r="G130" s="174"/>
    </row>
    <row r="131" spans="2:7" x14ac:dyDescent="0.3">
      <c r="B131" s="174"/>
      <c r="C131" s="174"/>
      <c r="D131" s="275" t="s">
        <v>412</v>
      </c>
      <c r="E131" s="275">
        <v>0</v>
      </c>
      <c r="F131" s="174"/>
      <c r="G131" s="174"/>
    </row>
    <row r="132" spans="2:7" x14ac:dyDescent="0.3">
      <c r="B132" s="174"/>
      <c r="C132" s="174"/>
      <c r="D132" s="174"/>
      <c r="E132" s="174"/>
      <c r="F132" s="174"/>
      <c r="G132" s="174"/>
    </row>
    <row r="133" spans="2:7" x14ac:dyDescent="0.3">
      <c r="B133" s="174"/>
      <c r="C133" s="174"/>
      <c r="D133" s="174"/>
      <c r="E133" s="174"/>
      <c r="F133" s="174"/>
      <c r="G133" s="174"/>
    </row>
    <row r="134" spans="2:7" x14ac:dyDescent="0.3">
      <c r="B134" s="174"/>
      <c r="C134" s="213" t="s">
        <v>407</v>
      </c>
      <c r="D134" s="214">
        <f>(SUM(C96*TAN(E129*D8*PI()/180)+D72*E130*D10)/F81)</f>
        <v>1.6060369294993306</v>
      </c>
      <c r="E134" s="214" t="s">
        <v>413</v>
      </c>
      <c r="F134" s="174"/>
      <c r="G134" s="174"/>
    </row>
    <row r="135" spans="2:7" x14ac:dyDescent="0.3">
      <c r="B135" s="174"/>
      <c r="C135" s="174"/>
      <c r="D135" s="174"/>
      <c r="E135" s="174"/>
      <c r="F135" s="174"/>
      <c r="G135" s="174"/>
    </row>
    <row r="136" spans="2:7" x14ac:dyDescent="0.3">
      <c r="B136" s="432" t="s">
        <v>414</v>
      </c>
      <c r="C136" s="432"/>
      <c r="D136" s="432"/>
      <c r="E136" s="432"/>
      <c r="F136" s="432"/>
      <c r="G136" s="174"/>
    </row>
    <row r="137" spans="2:7" x14ac:dyDescent="0.3">
      <c r="B137" s="174"/>
      <c r="C137" s="174"/>
      <c r="D137" s="174"/>
      <c r="E137" s="174"/>
      <c r="F137" s="174"/>
      <c r="G137" s="174"/>
    </row>
    <row r="138" spans="2:7" x14ac:dyDescent="0.3">
      <c r="B138" s="424" t="s">
        <v>415</v>
      </c>
      <c r="C138" s="424"/>
      <c r="D138" s="424"/>
      <c r="E138" s="424"/>
      <c r="F138" s="424"/>
      <c r="G138" s="174"/>
    </row>
    <row r="139" spans="2:7" x14ac:dyDescent="0.3">
      <c r="B139" s="174"/>
      <c r="C139" s="174"/>
      <c r="D139" s="174"/>
      <c r="E139" s="174"/>
      <c r="F139" s="174"/>
      <c r="G139" s="174"/>
    </row>
    <row r="140" spans="2:7" x14ac:dyDescent="0.3">
      <c r="B140" s="174"/>
      <c r="C140" s="174"/>
      <c r="D140" s="174"/>
      <c r="E140" s="174"/>
      <c r="F140" s="174"/>
      <c r="G140" s="174"/>
    </row>
    <row r="141" spans="2:7" x14ac:dyDescent="0.3">
      <c r="B141" s="174"/>
      <c r="C141" s="174"/>
      <c r="D141" s="174"/>
      <c r="E141" s="174"/>
      <c r="F141" s="174"/>
      <c r="G141" s="174"/>
    </row>
    <row r="142" spans="2:7" x14ac:dyDescent="0.3">
      <c r="B142" s="174"/>
      <c r="C142" s="174"/>
      <c r="D142" s="174"/>
      <c r="E142" s="174"/>
      <c r="F142" s="174"/>
      <c r="G142" s="174"/>
    </row>
    <row r="143" spans="2:7" x14ac:dyDescent="0.3">
      <c r="B143" s="174"/>
      <c r="C143" s="174"/>
      <c r="D143" s="276" t="s">
        <v>416</v>
      </c>
      <c r="E143" s="277">
        <f>(D72/2)-(D104-F109)/C96</f>
        <v>5.1072366192411844E-2</v>
      </c>
      <c r="F143" s="278" t="s">
        <v>20</v>
      </c>
      <c r="G143" s="174"/>
    </row>
    <row r="144" spans="2:7" x14ac:dyDescent="0.3">
      <c r="B144" s="174"/>
      <c r="C144" s="174"/>
      <c r="D144" s="174"/>
      <c r="E144" s="174"/>
      <c r="F144" s="174"/>
      <c r="G144" s="174"/>
    </row>
    <row r="145" spans="2:7" x14ac:dyDescent="0.3">
      <c r="B145" s="424" t="s">
        <v>417</v>
      </c>
      <c r="C145" s="424"/>
      <c r="D145" s="424"/>
      <c r="E145" s="424"/>
      <c r="F145" s="424"/>
      <c r="G145" s="174"/>
    </row>
    <row r="146" spans="2:7" x14ac:dyDescent="0.3">
      <c r="B146" s="174"/>
      <c r="C146" s="174"/>
      <c r="D146" s="174"/>
      <c r="E146" s="174"/>
      <c r="F146" s="174"/>
      <c r="G146" s="174"/>
    </row>
    <row r="147" spans="2:7" x14ac:dyDescent="0.3">
      <c r="B147" s="174"/>
      <c r="C147" s="174"/>
      <c r="D147" s="174"/>
      <c r="E147" s="174"/>
      <c r="F147" s="174"/>
      <c r="G147" s="174"/>
    </row>
    <row r="148" spans="2:7" x14ac:dyDescent="0.3">
      <c r="B148" s="174"/>
      <c r="C148" s="174"/>
      <c r="D148" s="174"/>
      <c r="E148" s="174"/>
      <c r="F148" s="174"/>
      <c r="G148" s="174"/>
    </row>
    <row r="149" spans="2:7" x14ac:dyDescent="0.3">
      <c r="B149" s="174"/>
      <c r="C149" s="174"/>
      <c r="D149" s="174"/>
      <c r="E149" s="174"/>
      <c r="F149" s="174"/>
      <c r="G149" s="174"/>
    </row>
    <row r="150" spans="2:7" x14ac:dyDescent="0.3">
      <c r="B150" s="174"/>
      <c r="C150" s="174"/>
      <c r="D150" s="174"/>
      <c r="E150" s="174"/>
      <c r="F150" s="174"/>
      <c r="G150" s="174"/>
    </row>
    <row r="151" spans="2:7" x14ac:dyDescent="0.3">
      <c r="B151" s="174"/>
      <c r="C151" s="174"/>
      <c r="D151" s="279" t="s">
        <v>418</v>
      </c>
      <c r="E151" s="273">
        <f>ROUND(C96*(1+6*$E$143/$D$72)/$D$72,2)</f>
        <v>3426.8</v>
      </c>
      <c r="F151" s="174"/>
      <c r="G151" s="174"/>
    </row>
    <row r="152" spans="2:7" x14ac:dyDescent="0.3">
      <c r="B152" s="174"/>
      <c r="C152" s="174"/>
      <c r="D152" s="279" t="s">
        <v>419</v>
      </c>
      <c r="E152" s="273">
        <f>ROUND(C96*(1-6*$E$143/$D$72)/$D$72,2)</f>
        <v>2196.06</v>
      </c>
      <c r="F152" s="174"/>
      <c r="G152" s="174"/>
    </row>
    <row r="153" spans="2:7" x14ac:dyDescent="0.3">
      <c r="B153" s="174"/>
      <c r="C153" s="174"/>
      <c r="D153" s="174"/>
      <c r="E153" s="174"/>
      <c r="F153" s="174"/>
      <c r="G153" s="174"/>
    </row>
    <row r="154" spans="2:7" x14ac:dyDescent="0.3">
      <c r="B154" s="174"/>
      <c r="C154" s="174"/>
      <c r="D154" s="174"/>
      <c r="E154" s="174"/>
      <c r="F154" s="174"/>
      <c r="G154" s="174"/>
    </row>
    <row r="155" spans="2:7" x14ac:dyDescent="0.3">
      <c r="B155" s="174"/>
      <c r="C155" s="174"/>
      <c r="D155" s="174"/>
      <c r="E155" s="174"/>
      <c r="F155" s="174"/>
      <c r="G155" s="174"/>
    </row>
    <row r="156" spans="2:7" x14ac:dyDescent="0.3">
      <c r="B156" s="174"/>
      <c r="C156" s="174"/>
      <c r="D156" s="174"/>
      <c r="E156" s="174"/>
      <c r="F156" s="174"/>
      <c r="G156" s="174"/>
    </row>
    <row r="157" spans="2:7" x14ac:dyDescent="0.3">
      <c r="B157" s="174"/>
      <c r="C157" s="174"/>
      <c r="D157" s="174"/>
      <c r="E157" s="174"/>
      <c r="F157" s="174"/>
      <c r="G157" s="174"/>
    </row>
    <row r="158" spans="2:7" x14ac:dyDescent="0.3">
      <c r="B158" s="174"/>
      <c r="C158" s="174"/>
      <c r="D158" s="174"/>
      <c r="E158" s="174"/>
      <c r="F158" s="174"/>
      <c r="G158" s="174"/>
    </row>
    <row r="159" spans="2:7" x14ac:dyDescent="0.3">
      <c r="B159" s="174"/>
      <c r="C159" s="174"/>
      <c r="D159" s="174"/>
      <c r="E159" s="174"/>
      <c r="F159" s="174"/>
      <c r="G159" s="174"/>
    </row>
    <row r="160" spans="2:7" x14ac:dyDescent="0.3">
      <c r="B160" s="174"/>
      <c r="C160" s="174"/>
      <c r="D160" s="174"/>
      <c r="E160" s="174"/>
      <c r="F160" s="174"/>
      <c r="G160" s="174"/>
    </row>
    <row r="161" spans="2:7" x14ac:dyDescent="0.3">
      <c r="B161" s="174"/>
      <c r="C161" s="174"/>
      <c r="D161" s="174"/>
      <c r="E161" s="174"/>
      <c r="F161" s="174"/>
      <c r="G161" s="174"/>
    </row>
    <row r="162" spans="2:7" x14ac:dyDescent="0.3">
      <c r="B162" s="174"/>
      <c r="C162" s="174"/>
      <c r="D162" s="174"/>
      <c r="E162" s="174"/>
      <c r="F162" s="174"/>
      <c r="G162" s="174"/>
    </row>
    <row r="163" spans="2:7" x14ac:dyDescent="0.3">
      <c r="B163" s="174"/>
      <c r="C163" s="174"/>
      <c r="D163" s="174"/>
      <c r="E163" s="174"/>
      <c r="F163" s="174"/>
      <c r="G163" s="174"/>
    </row>
    <row r="164" spans="2:7" x14ac:dyDescent="0.3">
      <c r="B164" s="174"/>
      <c r="C164" s="174"/>
      <c r="D164" s="174"/>
      <c r="E164" s="174"/>
      <c r="F164" s="174"/>
      <c r="G164" s="174"/>
    </row>
    <row r="165" spans="2:7" x14ac:dyDescent="0.3">
      <c r="B165" s="174"/>
      <c r="C165" s="174"/>
      <c r="D165" s="174"/>
      <c r="E165" s="174"/>
      <c r="F165" s="174"/>
      <c r="G165" s="174"/>
    </row>
    <row r="166" spans="2:7" x14ac:dyDescent="0.3">
      <c r="B166" s="174"/>
      <c r="C166" s="174"/>
      <c r="D166" s="174"/>
      <c r="E166" s="174"/>
      <c r="F166" s="174"/>
      <c r="G166" s="174"/>
    </row>
    <row r="167" spans="2:7" x14ac:dyDescent="0.3">
      <c r="B167" s="174"/>
      <c r="C167" s="174"/>
      <c r="D167" s="174"/>
      <c r="E167" s="174"/>
      <c r="F167" s="174"/>
      <c r="G167" s="174"/>
    </row>
    <row r="168" spans="2:7" x14ac:dyDescent="0.3">
      <c r="B168" s="174"/>
      <c r="C168" s="174"/>
      <c r="D168" s="174"/>
      <c r="E168" s="174"/>
      <c r="F168" s="174"/>
      <c r="G168" s="174"/>
    </row>
    <row r="169" spans="2:7" x14ac:dyDescent="0.3">
      <c r="B169" s="174"/>
      <c r="C169" s="174"/>
      <c r="D169" s="174"/>
      <c r="E169" s="174"/>
      <c r="F169" s="174"/>
      <c r="G169" s="174"/>
    </row>
    <row r="170" spans="2:7" x14ac:dyDescent="0.3">
      <c r="B170" s="174"/>
      <c r="C170" s="174"/>
      <c r="D170" s="174"/>
      <c r="E170" s="174"/>
      <c r="F170" s="174"/>
      <c r="G170" s="174"/>
    </row>
    <row r="171" spans="2:7" x14ac:dyDescent="0.3">
      <c r="B171" s="174"/>
      <c r="C171" s="174"/>
      <c r="D171" s="174"/>
      <c r="E171" s="174"/>
      <c r="F171" s="174"/>
      <c r="G171" s="174"/>
    </row>
    <row r="172" spans="2:7" x14ac:dyDescent="0.3">
      <c r="B172" s="174"/>
      <c r="C172" s="174"/>
      <c r="D172" s="174"/>
      <c r="E172" s="174"/>
      <c r="F172" s="174"/>
      <c r="G172" s="174"/>
    </row>
    <row r="173" spans="2:7" x14ac:dyDescent="0.3">
      <c r="B173" s="174"/>
      <c r="C173" s="174"/>
      <c r="D173" s="174"/>
      <c r="E173" s="174"/>
      <c r="F173" s="174"/>
      <c r="G173" s="174"/>
    </row>
    <row r="174" spans="2:7" x14ac:dyDescent="0.3">
      <c r="B174" s="174"/>
      <c r="C174" s="174"/>
      <c r="D174" s="174"/>
      <c r="E174" s="174"/>
      <c r="F174" s="174"/>
      <c r="G174" s="174"/>
    </row>
    <row r="175" spans="2:7" x14ac:dyDescent="0.3">
      <c r="B175" s="174"/>
      <c r="C175" s="174"/>
      <c r="D175" s="174"/>
      <c r="E175" s="174"/>
      <c r="F175" s="174"/>
      <c r="G175" s="174"/>
    </row>
    <row r="176" spans="2:7" x14ac:dyDescent="0.3">
      <c r="B176" s="174"/>
      <c r="C176" s="174"/>
      <c r="D176" s="174"/>
      <c r="E176" s="174"/>
      <c r="F176" s="174"/>
      <c r="G176" s="174"/>
    </row>
    <row r="177" spans="2:7" x14ac:dyDescent="0.3">
      <c r="B177" s="174"/>
      <c r="C177" s="174"/>
      <c r="D177" s="174"/>
      <c r="E177" s="174"/>
      <c r="F177" s="174"/>
      <c r="G177" s="174"/>
    </row>
    <row r="178" spans="2:7" x14ac:dyDescent="0.3">
      <c r="B178" s="174"/>
      <c r="C178" s="174"/>
      <c r="D178" s="174"/>
      <c r="E178" s="174"/>
      <c r="F178" s="174"/>
      <c r="G178" s="174"/>
    </row>
    <row r="179" spans="2:7" x14ac:dyDescent="0.3">
      <c r="B179" s="174"/>
      <c r="C179" s="174"/>
      <c r="D179" s="174"/>
      <c r="E179" s="174"/>
      <c r="F179" s="174"/>
      <c r="G179" s="174"/>
    </row>
    <row r="180" spans="2:7" x14ac:dyDescent="0.3">
      <c r="B180" s="174"/>
      <c r="C180" s="174"/>
      <c r="D180" s="174"/>
      <c r="E180" s="174"/>
      <c r="F180" s="174"/>
      <c r="G180" s="174"/>
    </row>
    <row r="181" spans="2:7" x14ac:dyDescent="0.3">
      <c r="B181" s="174"/>
      <c r="C181" s="174"/>
      <c r="D181" s="174"/>
      <c r="E181" s="174"/>
      <c r="F181" s="174"/>
      <c r="G181" s="174"/>
    </row>
    <row r="182" spans="2:7" x14ac:dyDescent="0.3">
      <c r="B182" s="174"/>
      <c r="C182" s="174"/>
      <c r="D182" s="174"/>
      <c r="E182" s="174"/>
      <c r="F182" s="174"/>
      <c r="G182" s="174"/>
    </row>
    <row r="183" spans="2:7" x14ac:dyDescent="0.3">
      <c r="B183" s="174"/>
      <c r="C183" s="174"/>
      <c r="D183" s="174"/>
      <c r="E183" s="174"/>
      <c r="F183" s="174"/>
      <c r="G183" s="174"/>
    </row>
    <row r="184" spans="2:7" x14ac:dyDescent="0.3">
      <c r="B184" s="174"/>
      <c r="C184" s="174"/>
      <c r="D184" s="174"/>
      <c r="E184" s="174"/>
      <c r="F184" s="174"/>
      <c r="G184" s="174"/>
    </row>
    <row r="185" spans="2:7" x14ac:dyDescent="0.3">
      <c r="B185" s="174"/>
      <c r="C185" s="174"/>
      <c r="D185" s="174"/>
      <c r="E185" s="174"/>
      <c r="F185" s="174"/>
      <c r="G185" s="174"/>
    </row>
    <row r="186" spans="2:7" x14ac:dyDescent="0.3">
      <c r="B186" s="174"/>
      <c r="C186" s="174"/>
      <c r="D186" s="174"/>
      <c r="E186" s="174"/>
      <c r="F186" s="174"/>
      <c r="G186" s="174"/>
    </row>
    <row r="187" spans="2:7" x14ac:dyDescent="0.3">
      <c r="B187" s="174"/>
      <c r="C187" s="174"/>
      <c r="D187" s="174"/>
      <c r="E187" s="174"/>
      <c r="F187" s="174"/>
      <c r="G187" s="174"/>
    </row>
    <row r="188" spans="2:7" x14ac:dyDescent="0.3">
      <c r="B188" s="174"/>
      <c r="C188" s="174"/>
      <c r="D188" s="174"/>
      <c r="E188" s="174"/>
      <c r="F188" s="174"/>
      <c r="G188" s="174"/>
    </row>
    <row r="189" spans="2:7" x14ac:dyDescent="0.3">
      <c r="B189" s="174"/>
      <c r="C189" s="174"/>
      <c r="D189" s="174"/>
      <c r="E189" s="174"/>
      <c r="F189" s="174"/>
      <c r="G189" s="174"/>
    </row>
    <row r="190" spans="2:7" x14ac:dyDescent="0.3">
      <c r="B190" s="174"/>
      <c r="C190" s="174"/>
      <c r="D190" s="174"/>
      <c r="E190" s="174"/>
      <c r="F190" s="174"/>
      <c r="G190" s="174"/>
    </row>
    <row r="191" spans="2:7" x14ac:dyDescent="0.3">
      <c r="B191" s="174"/>
      <c r="C191" s="174"/>
      <c r="D191" s="174"/>
      <c r="E191" s="174"/>
      <c r="F191" s="174"/>
      <c r="G191" s="174"/>
    </row>
    <row r="192" spans="2:7" x14ac:dyDescent="0.3">
      <c r="B192" s="174"/>
      <c r="C192" s="174"/>
      <c r="D192" s="174"/>
      <c r="E192" s="174"/>
      <c r="F192" s="174"/>
      <c r="G192" s="174"/>
    </row>
    <row r="193" spans="2:7" x14ac:dyDescent="0.3">
      <c r="B193" s="174"/>
      <c r="C193" s="174"/>
      <c r="D193" s="174"/>
      <c r="E193" s="174"/>
      <c r="F193" s="174"/>
      <c r="G193" s="174"/>
    </row>
    <row r="194" spans="2:7" x14ac:dyDescent="0.3">
      <c r="B194" s="174"/>
      <c r="C194" s="174"/>
      <c r="D194" s="174"/>
      <c r="E194" s="174"/>
      <c r="F194" s="174"/>
      <c r="G194" s="174"/>
    </row>
    <row r="195" spans="2:7" x14ac:dyDescent="0.3">
      <c r="B195" s="174"/>
      <c r="C195" s="174"/>
      <c r="D195" s="174"/>
      <c r="E195" s="174"/>
      <c r="F195" s="174"/>
      <c r="G195" s="174"/>
    </row>
    <row r="196" spans="2:7" x14ac:dyDescent="0.3">
      <c r="B196" s="174"/>
      <c r="C196" s="174"/>
      <c r="D196" s="174"/>
      <c r="E196" s="174"/>
      <c r="F196" s="174"/>
      <c r="G196" s="174"/>
    </row>
    <row r="197" spans="2:7" x14ac:dyDescent="0.3">
      <c r="B197" s="174"/>
      <c r="C197" s="174"/>
      <c r="D197" s="174"/>
      <c r="E197" s="174"/>
      <c r="F197" s="174"/>
      <c r="G197" s="174"/>
    </row>
    <row r="198" spans="2:7" x14ac:dyDescent="0.3">
      <c r="B198" s="174"/>
      <c r="C198" s="174"/>
      <c r="D198" s="174"/>
      <c r="E198" s="174"/>
      <c r="F198" s="174"/>
      <c r="G198" s="174"/>
    </row>
    <row r="199" spans="2:7" x14ac:dyDescent="0.3">
      <c r="B199" s="174"/>
      <c r="C199" s="174"/>
      <c r="D199" s="174"/>
      <c r="E199" s="174"/>
      <c r="F199" s="174"/>
      <c r="G199" s="174"/>
    </row>
    <row r="200" spans="2:7" x14ac:dyDescent="0.3">
      <c r="B200" s="174"/>
      <c r="C200" s="174"/>
      <c r="D200" s="174"/>
      <c r="E200" s="174"/>
      <c r="F200" s="174"/>
      <c r="G200" s="174"/>
    </row>
    <row r="201" spans="2:7" x14ac:dyDescent="0.3">
      <c r="B201" s="174"/>
      <c r="C201" s="174"/>
      <c r="D201" s="174"/>
      <c r="E201" s="174"/>
      <c r="F201" s="174"/>
      <c r="G201" s="174"/>
    </row>
    <row r="202" spans="2:7" x14ac:dyDescent="0.3">
      <c r="B202" s="174"/>
      <c r="C202" s="174"/>
      <c r="D202" s="174"/>
      <c r="E202" s="174"/>
      <c r="F202" s="174"/>
      <c r="G202" s="174"/>
    </row>
    <row r="203" spans="2:7" x14ac:dyDescent="0.3">
      <c r="B203" s="174"/>
      <c r="C203" s="174"/>
      <c r="D203" s="174"/>
      <c r="E203" s="174"/>
      <c r="F203" s="174"/>
      <c r="G203" s="174"/>
    </row>
    <row r="204" spans="2:7" x14ac:dyDescent="0.3">
      <c r="B204" s="174"/>
      <c r="C204" s="174"/>
      <c r="D204" s="174"/>
      <c r="E204" s="174"/>
      <c r="F204" s="174"/>
      <c r="G204" s="174"/>
    </row>
    <row r="205" spans="2:7" x14ac:dyDescent="0.3">
      <c r="B205" s="174"/>
      <c r="C205" s="174"/>
      <c r="D205" s="174"/>
      <c r="E205" s="174"/>
      <c r="F205" s="174"/>
      <c r="G205" s="174"/>
    </row>
    <row r="206" spans="2:7" x14ac:dyDescent="0.3">
      <c r="B206" s="174"/>
      <c r="C206" s="174"/>
      <c r="D206" s="174"/>
      <c r="E206" s="174"/>
      <c r="F206" s="174"/>
      <c r="G206" s="174"/>
    </row>
    <row r="207" spans="2:7" x14ac:dyDescent="0.3">
      <c r="B207" s="174"/>
      <c r="C207" s="174"/>
      <c r="D207" s="174"/>
      <c r="E207" s="174"/>
      <c r="F207" s="174"/>
      <c r="G207" s="174"/>
    </row>
    <row r="208" spans="2:7" x14ac:dyDescent="0.3">
      <c r="B208" s="174"/>
      <c r="C208" s="174"/>
      <c r="D208" s="174"/>
      <c r="E208" s="174"/>
      <c r="F208" s="174"/>
      <c r="G208" s="174"/>
    </row>
    <row r="209" spans="2:7" x14ac:dyDescent="0.3">
      <c r="B209" s="174"/>
      <c r="C209" s="174"/>
      <c r="D209" s="174"/>
      <c r="E209" s="174"/>
      <c r="F209" s="174"/>
      <c r="G209" s="174"/>
    </row>
    <row r="210" spans="2:7" x14ac:dyDescent="0.3">
      <c r="B210" s="174"/>
      <c r="C210" s="174"/>
      <c r="D210" s="174"/>
      <c r="E210" s="174"/>
      <c r="F210" s="174"/>
      <c r="G210" s="174"/>
    </row>
    <row r="211" spans="2:7" x14ac:dyDescent="0.3">
      <c r="B211" s="174"/>
      <c r="C211" s="174"/>
      <c r="D211" s="174"/>
      <c r="E211" s="174"/>
      <c r="F211" s="174"/>
      <c r="G211" s="174"/>
    </row>
    <row r="212" spans="2:7" x14ac:dyDescent="0.3">
      <c r="B212" s="174"/>
      <c r="C212" s="174"/>
      <c r="D212" s="174"/>
      <c r="E212" s="174"/>
      <c r="F212" s="174"/>
      <c r="G212" s="174"/>
    </row>
    <row r="213" spans="2:7" x14ac:dyDescent="0.3">
      <c r="B213" s="174"/>
      <c r="C213" s="174"/>
      <c r="D213" s="174"/>
      <c r="E213" s="174"/>
      <c r="F213" s="174"/>
      <c r="G213" s="174"/>
    </row>
    <row r="214" spans="2:7" x14ac:dyDescent="0.3">
      <c r="B214" s="174"/>
      <c r="C214" s="174"/>
      <c r="D214" s="174"/>
      <c r="E214" s="174"/>
      <c r="F214" s="174"/>
      <c r="G214" s="174"/>
    </row>
    <row r="215" spans="2:7" x14ac:dyDescent="0.3">
      <c r="B215" s="174"/>
      <c r="C215" s="174"/>
      <c r="D215" s="174"/>
      <c r="E215" s="174"/>
      <c r="F215" s="174"/>
      <c r="G215" s="174"/>
    </row>
    <row r="216" spans="2:7" x14ac:dyDescent="0.3">
      <c r="B216" s="174"/>
      <c r="C216" s="174"/>
      <c r="D216" s="174"/>
      <c r="E216" s="174"/>
      <c r="F216" s="174"/>
      <c r="G216" s="174"/>
    </row>
    <row r="217" spans="2:7" x14ac:dyDescent="0.3">
      <c r="B217" s="174"/>
      <c r="C217" s="174"/>
      <c r="D217" s="174"/>
      <c r="E217" s="174"/>
      <c r="F217" s="174"/>
      <c r="G217" s="174"/>
    </row>
    <row r="218" spans="2:7" x14ac:dyDescent="0.3">
      <c r="B218" s="174"/>
      <c r="C218" s="174"/>
      <c r="D218" s="174"/>
      <c r="E218" s="174"/>
      <c r="F218" s="174"/>
      <c r="G218" s="174"/>
    </row>
    <row r="219" spans="2:7" x14ac:dyDescent="0.3">
      <c r="B219" s="174"/>
      <c r="C219" s="174"/>
      <c r="D219" s="174"/>
      <c r="E219" s="174"/>
      <c r="F219" s="174"/>
      <c r="G219" s="174"/>
    </row>
    <row r="220" spans="2:7" x14ac:dyDescent="0.3">
      <c r="B220" s="174"/>
      <c r="C220" s="174"/>
      <c r="D220" s="174"/>
      <c r="E220" s="174"/>
      <c r="F220" s="174"/>
      <c r="G220" s="174"/>
    </row>
    <row r="221" spans="2:7" x14ac:dyDescent="0.3">
      <c r="B221" s="174"/>
      <c r="C221" s="174"/>
      <c r="D221" s="174"/>
      <c r="E221" s="174"/>
      <c r="F221" s="174"/>
      <c r="G221" s="174"/>
    </row>
    <row r="222" spans="2:7" x14ac:dyDescent="0.3">
      <c r="B222" s="174"/>
      <c r="C222" s="174"/>
      <c r="D222" s="174"/>
      <c r="E222" s="174"/>
      <c r="F222" s="174"/>
      <c r="G222" s="174"/>
    </row>
    <row r="223" spans="2:7" x14ac:dyDescent="0.3">
      <c r="B223" s="174"/>
      <c r="C223" s="174"/>
      <c r="D223" s="174"/>
      <c r="E223" s="174"/>
      <c r="F223" s="174"/>
      <c r="G223" s="174"/>
    </row>
    <row r="224" spans="2:7" x14ac:dyDescent="0.3">
      <c r="B224" s="174"/>
      <c r="C224" s="174"/>
      <c r="D224" s="174"/>
      <c r="E224" s="174"/>
      <c r="F224" s="174"/>
      <c r="G224" s="174"/>
    </row>
    <row r="225" spans="2:7" x14ac:dyDescent="0.3">
      <c r="B225" s="174"/>
      <c r="C225" s="174"/>
      <c r="D225" s="174"/>
      <c r="E225" s="174"/>
      <c r="F225" s="174"/>
      <c r="G225" s="174"/>
    </row>
    <row r="226" spans="2:7" x14ac:dyDescent="0.3">
      <c r="B226" s="174"/>
      <c r="C226" s="174"/>
      <c r="D226" s="174"/>
      <c r="E226" s="174"/>
      <c r="F226" s="174"/>
      <c r="G226" s="174"/>
    </row>
    <row r="227" spans="2:7" x14ac:dyDescent="0.3">
      <c r="B227" s="174"/>
      <c r="C227" s="174"/>
      <c r="D227" s="174"/>
      <c r="E227" s="174"/>
      <c r="F227" s="174"/>
      <c r="G227" s="174"/>
    </row>
    <row r="228" spans="2:7" x14ac:dyDescent="0.3">
      <c r="B228" s="174"/>
      <c r="C228" s="174"/>
      <c r="D228" s="174"/>
      <c r="E228" s="174"/>
      <c r="F228" s="174"/>
      <c r="G228" s="174"/>
    </row>
    <row r="229" spans="2:7" x14ac:dyDescent="0.3">
      <c r="B229" s="174"/>
      <c r="C229" s="174"/>
      <c r="D229" s="174"/>
      <c r="E229" s="174"/>
      <c r="F229" s="174"/>
      <c r="G229" s="174"/>
    </row>
    <row r="230" spans="2:7" x14ac:dyDescent="0.3">
      <c r="B230" s="174"/>
      <c r="C230" s="174"/>
      <c r="D230" s="174"/>
      <c r="E230" s="174"/>
      <c r="F230" s="174"/>
      <c r="G230" s="174"/>
    </row>
    <row r="231" spans="2:7" x14ac:dyDescent="0.3">
      <c r="B231" s="174"/>
      <c r="C231" s="174"/>
      <c r="D231" s="174"/>
      <c r="E231" s="174"/>
      <c r="F231" s="174"/>
      <c r="G231" s="174"/>
    </row>
    <row r="232" spans="2:7" x14ac:dyDescent="0.3">
      <c r="B232" s="174"/>
      <c r="C232" s="174"/>
      <c r="D232" s="174"/>
      <c r="E232" s="174"/>
      <c r="F232" s="174"/>
      <c r="G232" s="174"/>
    </row>
    <row r="233" spans="2:7" x14ac:dyDescent="0.3">
      <c r="B233" s="174"/>
      <c r="C233" s="174"/>
      <c r="D233" s="174"/>
      <c r="E233" s="174"/>
      <c r="F233" s="174"/>
      <c r="G233" s="174"/>
    </row>
    <row r="234" spans="2:7" x14ac:dyDescent="0.3">
      <c r="B234" s="174"/>
      <c r="C234" s="174"/>
      <c r="D234" s="174"/>
      <c r="E234" s="174"/>
      <c r="F234" s="174"/>
      <c r="G234" s="174"/>
    </row>
    <row r="235" spans="2:7" x14ac:dyDescent="0.3">
      <c r="B235" s="174"/>
      <c r="C235" s="174"/>
      <c r="D235" s="174"/>
      <c r="E235" s="174"/>
      <c r="F235" s="174"/>
      <c r="G235" s="174"/>
    </row>
    <row r="236" spans="2:7" x14ac:dyDescent="0.3">
      <c r="B236" s="174"/>
      <c r="C236" s="174"/>
      <c r="D236" s="174"/>
      <c r="E236" s="174"/>
      <c r="F236" s="174"/>
      <c r="G236" s="174"/>
    </row>
    <row r="237" spans="2:7" x14ac:dyDescent="0.3">
      <c r="B237" s="174"/>
      <c r="C237" s="174"/>
      <c r="D237" s="174"/>
      <c r="E237" s="174"/>
      <c r="F237" s="174"/>
      <c r="G237" s="174"/>
    </row>
    <row r="238" spans="2:7" x14ac:dyDescent="0.3">
      <c r="B238" s="174"/>
      <c r="C238" s="174"/>
      <c r="D238" s="174"/>
      <c r="E238" s="174"/>
      <c r="F238" s="174"/>
      <c r="G238" s="174"/>
    </row>
    <row r="239" spans="2:7" x14ac:dyDescent="0.3">
      <c r="B239" s="174"/>
      <c r="C239" s="174"/>
      <c r="D239" s="174"/>
      <c r="E239" s="174"/>
      <c r="F239" s="174"/>
      <c r="G239" s="174"/>
    </row>
    <row r="240" spans="2:7" x14ac:dyDescent="0.3">
      <c r="B240" s="174"/>
      <c r="C240" s="174"/>
      <c r="D240" s="174"/>
      <c r="E240" s="174"/>
      <c r="F240" s="174"/>
      <c r="G240" s="174"/>
    </row>
    <row r="241" spans="2:7" x14ac:dyDescent="0.3">
      <c r="B241" s="174"/>
      <c r="C241" s="174"/>
      <c r="D241" s="174"/>
      <c r="E241" s="174"/>
      <c r="F241" s="174"/>
      <c r="G241" s="174"/>
    </row>
    <row r="242" spans="2:7" x14ac:dyDescent="0.3">
      <c r="B242" s="174"/>
      <c r="C242" s="174"/>
      <c r="D242" s="174"/>
      <c r="E242" s="174"/>
      <c r="F242" s="174"/>
      <c r="G242" s="174"/>
    </row>
    <row r="243" spans="2:7" x14ac:dyDescent="0.3">
      <c r="B243" s="174"/>
      <c r="C243" s="174"/>
      <c r="D243" s="174"/>
      <c r="E243" s="174"/>
      <c r="F243" s="174"/>
      <c r="G243" s="174"/>
    </row>
    <row r="244" spans="2:7" x14ac:dyDescent="0.3">
      <c r="B244" s="174"/>
      <c r="C244" s="174"/>
      <c r="D244" s="174"/>
      <c r="E244" s="174"/>
      <c r="F244" s="174"/>
      <c r="G244" s="174"/>
    </row>
    <row r="245" spans="2:7" x14ac:dyDescent="0.3">
      <c r="B245" s="174"/>
      <c r="C245" s="174"/>
      <c r="D245" s="174"/>
      <c r="E245" s="174"/>
      <c r="F245" s="174"/>
      <c r="G245" s="174"/>
    </row>
    <row r="246" spans="2:7" x14ac:dyDescent="0.3">
      <c r="B246" s="174"/>
      <c r="C246" s="174"/>
      <c r="D246" s="174"/>
      <c r="E246" s="174"/>
      <c r="F246" s="174"/>
      <c r="G246" s="174"/>
    </row>
    <row r="247" spans="2:7" x14ac:dyDescent="0.3">
      <c r="B247" s="174"/>
      <c r="C247" s="174"/>
      <c r="D247" s="174"/>
      <c r="E247" s="174"/>
      <c r="F247" s="174"/>
      <c r="G247" s="174"/>
    </row>
    <row r="248" spans="2:7" x14ac:dyDescent="0.3">
      <c r="B248" s="174"/>
      <c r="C248" s="174"/>
      <c r="D248" s="174"/>
      <c r="E248" s="174"/>
      <c r="F248" s="174"/>
      <c r="G248" s="174"/>
    </row>
  </sheetData>
  <mergeCells count="34">
    <mergeCell ref="G11:H11"/>
    <mergeCell ref="B22:E22"/>
    <mergeCell ref="B27:C27"/>
    <mergeCell ref="B40:C40"/>
    <mergeCell ref="B79:F79"/>
    <mergeCell ref="J6:K6"/>
    <mergeCell ref="G7:H7"/>
    <mergeCell ref="G8:H8"/>
    <mergeCell ref="G9:H9"/>
    <mergeCell ref="G10:H10"/>
    <mergeCell ref="B90:C90"/>
    <mergeCell ref="D91:E91"/>
    <mergeCell ref="B2:F2"/>
    <mergeCell ref="B122:F122"/>
    <mergeCell ref="B136:F136"/>
    <mergeCell ref="D94:E94"/>
    <mergeCell ref="B52:C52"/>
    <mergeCell ref="B65:F65"/>
    <mergeCell ref="B67:F67"/>
    <mergeCell ref="B74:F74"/>
    <mergeCell ref="D92:E92"/>
    <mergeCell ref="D93:E93"/>
    <mergeCell ref="B49:C49"/>
    <mergeCell ref="B4:D4"/>
    <mergeCell ref="B84:F84"/>
    <mergeCell ref="B88:F88"/>
    <mergeCell ref="B138:F138"/>
    <mergeCell ref="B145:F145"/>
    <mergeCell ref="D95:E95"/>
    <mergeCell ref="D96:E96"/>
    <mergeCell ref="B98:F98"/>
    <mergeCell ref="B102:F102"/>
    <mergeCell ref="B106:F106"/>
    <mergeCell ref="B112:F112"/>
  </mergeCells>
  <pageMargins left="0.7" right="0.7" top="0.75" bottom="0.75" header="0.3" footer="0.3"/>
  <pageSetup orientation="portrait" horizontalDpi="360" verticalDpi="360" r:id="rId1"/>
  <drawing r:id="rId2"/>
  <legacyDrawing r:id="rId3"/>
  <oleObjects>
    <mc:AlternateContent xmlns:mc="http://schemas.openxmlformats.org/markup-compatibility/2006">
      <mc:Choice Requires="x14">
        <oleObject progId="Equation.3" shapeId="71681" r:id="rId4">
          <objectPr defaultSize="0" autoPict="0" r:id="rId5">
            <anchor moveWithCells="1" sizeWithCells="1">
              <from>
                <xdr:col>2</xdr:col>
                <xdr:colOff>838200</xdr:colOff>
                <xdr:row>39</xdr:row>
                <xdr:rowOff>28575</xdr:rowOff>
              </from>
              <to>
                <xdr:col>4</xdr:col>
                <xdr:colOff>428625</xdr:colOff>
                <xdr:row>40</xdr:row>
                <xdr:rowOff>133350</xdr:rowOff>
              </to>
            </anchor>
          </objectPr>
        </oleObject>
      </mc:Choice>
      <mc:Fallback>
        <oleObject progId="Equation.3" shapeId="71681" r:id="rId4"/>
      </mc:Fallback>
    </mc:AlternateContent>
    <mc:AlternateContent xmlns:mc="http://schemas.openxmlformats.org/markup-compatibility/2006">
      <mc:Choice Requires="x14">
        <oleObject progId="Equation.3" shapeId="71682" r:id="rId6">
          <objectPr defaultSize="0" autoPict="0" r:id="rId7">
            <anchor moveWithCells="1" sizeWithCells="1">
              <from>
                <xdr:col>2</xdr:col>
                <xdr:colOff>838200</xdr:colOff>
                <xdr:row>48</xdr:row>
                <xdr:rowOff>19050</xdr:rowOff>
              </from>
              <to>
                <xdr:col>3</xdr:col>
                <xdr:colOff>723900</xdr:colOff>
                <xdr:row>50</xdr:row>
                <xdr:rowOff>66675</xdr:rowOff>
              </to>
            </anchor>
          </objectPr>
        </oleObject>
      </mc:Choice>
      <mc:Fallback>
        <oleObject progId="Equation.3" shapeId="71682" r:id="rId6"/>
      </mc:Fallback>
    </mc:AlternateContent>
    <mc:AlternateContent xmlns:mc="http://schemas.openxmlformats.org/markup-compatibility/2006">
      <mc:Choice Requires="x14">
        <oleObject progId="Equation.3" shapeId="71683" r:id="rId8">
          <objectPr defaultSize="0" autoPict="0" r:id="rId9">
            <anchor moveWithCells="1" sizeWithCells="1">
              <from>
                <xdr:col>3</xdr:col>
                <xdr:colOff>9525</xdr:colOff>
                <xdr:row>53</xdr:row>
                <xdr:rowOff>28575</xdr:rowOff>
              </from>
              <to>
                <xdr:col>3</xdr:col>
                <xdr:colOff>781050</xdr:colOff>
                <xdr:row>55</xdr:row>
                <xdr:rowOff>95250</xdr:rowOff>
              </to>
            </anchor>
          </objectPr>
        </oleObject>
      </mc:Choice>
      <mc:Fallback>
        <oleObject progId="Equation.3" shapeId="71683" r:id="rId8"/>
      </mc:Fallback>
    </mc:AlternateContent>
    <mc:AlternateContent xmlns:mc="http://schemas.openxmlformats.org/markup-compatibility/2006">
      <mc:Choice Requires="x14">
        <oleObject progId="Equation.3" shapeId="71684" r:id="rId10">
          <objectPr defaultSize="0" autoPict="0" r:id="rId11">
            <anchor moveWithCells="1" sizeWithCells="1">
              <from>
                <xdr:col>2</xdr:col>
                <xdr:colOff>838200</xdr:colOff>
                <xdr:row>23</xdr:row>
                <xdr:rowOff>47625</xdr:rowOff>
              </from>
              <to>
                <xdr:col>4</xdr:col>
                <xdr:colOff>323850</xdr:colOff>
                <xdr:row>24</xdr:row>
                <xdr:rowOff>133350</xdr:rowOff>
              </to>
            </anchor>
          </objectPr>
        </oleObject>
      </mc:Choice>
      <mc:Fallback>
        <oleObject progId="Equation.3" shapeId="71684" r:id="rId10"/>
      </mc:Fallback>
    </mc:AlternateContent>
    <mc:AlternateContent xmlns:mc="http://schemas.openxmlformats.org/markup-compatibility/2006">
      <mc:Choice Requires="x14">
        <oleObject progId="Equation.3" shapeId="71685" r:id="rId12">
          <objectPr defaultSize="0" autoPict="0" r:id="rId13">
            <anchor moveWithCells="1" sizeWithCells="1">
              <from>
                <xdr:col>2</xdr:col>
                <xdr:colOff>838200</xdr:colOff>
                <xdr:row>30</xdr:row>
                <xdr:rowOff>28575</xdr:rowOff>
              </from>
              <to>
                <xdr:col>4</xdr:col>
                <xdr:colOff>447675</xdr:colOff>
                <xdr:row>31</xdr:row>
                <xdr:rowOff>104775</xdr:rowOff>
              </to>
            </anchor>
          </objectPr>
        </oleObject>
      </mc:Choice>
      <mc:Fallback>
        <oleObject progId="Equation.3" shapeId="71685" r:id="rId12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CALCULO DE CAUDAL</vt:lpstr>
      <vt:lpstr>DISEÑO HIDRAULICO</vt:lpstr>
      <vt:lpstr>ANAL-ESTAB </vt:lpstr>
      <vt:lpstr>LONGMUROS</vt:lpstr>
      <vt:lpstr>MURO DE ENCAUSAMIENTO</vt:lpstr>
      <vt:lpstr>'ANAL-ESTAB '!Área_de_impresión</vt:lpstr>
      <vt:lpstr>'DISEÑO HIDRAULICO'!Área_de_impresión</vt:lpstr>
      <vt:lpstr>'MURO DE ENCAUSAMIENTO'!Área_de_impresión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Heb MERMA</dc:creator>
  <cp:keywords>hebmerma.com</cp:keywords>
  <cp:lastModifiedBy>Heb MERMA</cp:lastModifiedBy>
  <cp:lastPrinted>2018-07-09T19:30:01Z</cp:lastPrinted>
  <dcterms:created xsi:type="dcterms:W3CDTF">1999-06-26T14:46:22Z</dcterms:created>
  <dcterms:modified xsi:type="dcterms:W3CDTF">2024-01-26T15:08:09Z</dcterms:modified>
</cp:coreProperties>
</file>