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OSTOS, PRESUPUESTOS Y PROGRAMACION DE OBRAS\"/>
    </mc:Choice>
  </mc:AlternateContent>
  <bookViews>
    <workbookView xWindow="0" yWindow="0" windowWidth="20490" windowHeight="10320"/>
  </bookViews>
  <sheets>
    <sheet name="CANTIDAD DE MATERIALES EN MUR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E7" i="2"/>
  <c r="D7" i="2"/>
  <c r="C7" i="2"/>
  <c r="AB6" i="2"/>
  <c r="E39" i="2"/>
  <c r="E40" i="2" l="1"/>
  <c r="E41" i="2" s="1"/>
  <c r="W8" i="2"/>
  <c r="W9" i="2"/>
  <c r="W10" i="2"/>
  <c r="W12" i="2"/>
  <c r="W13" i="2"/>
  <c r="W14" i="2"/>
  <c r="W15" i="2"/>
  <c r="W16" i="2"/>
  <c r="W17" i="2"/>
  <c r="W18" i="2"/>
  <c r="W19" i="2"/>
  <c r="W21" i="2"/>
  <c r="W22" i="2"/>
  <c r="W7" i="2"/>
  <c r="W6" i="2"/>
  <c r="E42" i="2" l="1"/>
  <c r="G6" i="2"/>
  <c r="C9" i="2" s="1"/>
  <c r="AC10" i="2" s="1"/>
  <c r="I6" i="2"/>
  <c r="E10" i="2" s="1"/>
  <c r="AC12" i="2" s="1"/>
  <c r="H6" i="2"/>
  <c r="C13" i="2" s="1"/>
  <c r="AC11" i="2" s="1"/>
  <c r="E28" i="2" s="1"/>
  <c r="J21" i="2"/>
  <c r="J23" i="2" s="1"/>
  <c r="D5" i="2"/>
  <c r="E5" i="2"/>
  <c r="F5" i="2"/>
  <c r="G5" i="2"/>
  <c r="H5" i="2"/>
  <c r="I5" i="2"/>
  <c r="C5" i="2"/>
  <c r="E43" i="2" l="1"/>
  <c r="AB7" i="2"/>
  <c r="E26" i="2" s="1"/>
  <c r="AB11" i="2"/>
  <c r="E27" i="2" s="1"/>
  <c r="I25" i="2" s="1"/>
  <c r="AB8" i="2"/>
  <c r="AD8" i="2" s="1"/>
  <c r="AB12" i="2"/>
  <c r="AB10" i="2"/>
  <c r="AD6" i="2"/>
  <c r="AC6" i="2" s="1"/>
  <c r="C18" i="2"/>
  <c r="D20" i="2"/>
  <c r="E44" i="2" l="1"/>
  <c r="E45" i="2" s="1"/>
  <c r="E46" i="2" s="1"/>
  <c r="E47" i="2" s="1"/>
  <c r="F47" i="2" s="1"/>
  <c r="AE6" i="2"/>
  <c r="AD7" i="2"/>
  <c r="AC7" i="2" s="1"/>
  <c r="AE7" i="2"/>
  <c r="AC8" i="2"/>
  <c r="AE8" i="2"/>
  <c r="E48" i="2" l="1"/>
  <c r="E49" i="2" s="1"/>
  <c r="F49" i="2" s="1"/>
  <c r="I26" i="2"/>
  <c r="I27" i="2" s="1"/>
  <c r="E50" i="2" l="1"/>
  <c r="I28" i="2"/>
  <c r="I29" i="2" l="1"/>
  <c r="I30" i="2" l="1"/>
  <c r="I31" i="2" s="1"/>
  <c r="I32" i="2" s="1"/>
  <c r="D29" i="2" s="1"/>
  <c r="D30" i="2" s="1"/>
  <c r="D31" i="2" s="1"/>
  <c r="D32" i="2" s="1"/>
</calcChain>
</file>

<file path=xl/sharedStrings.xml><?xml version="1.0" encoding="utf-8"?>
<sst xmlns="http://schemas.openxmlformats.org/spreadsheetml/2006/main" count="163" uniqueCount="89">
  <si>
    <t>ALTURA</t>
  </si>
  <si>
    <t>CODIGO</t>
  </si>
  <si>
    <t>LADRILLO</t>
  </si>
  <si>
    <t>DE ARCILLA</t>
  </si>
  <si>
    <t>Corriente</t>
  </si>
  <si>
    <t>K-K</t>
  </si>
  <si>
    <t>Pandereta</t>
  </si>
  <si>
    <t>CALCAREO</t>
  </si>
  <si>
    <t>Tabique</t>
  </si>
  <si>
    <t>CONCRETO</t>
  </si>
  <si>
    <t>Parva Domus</t>
  </si>
  <si>
    <t>24x12x6</t>
  </si>
  <si>
    <t>24x14x10</t>
  </si>
  <si>
    <t>24x12x10</t>
  </si>
  <si>
    <t>25x12x10</t>
  </si>
  <si>
    <t>25x14x10</t>
  </si>
  <si>
    <t>22x10.5x5.5</t>
  </si>
  <si>
    <t>24x9x12</t>
  </si>
  <si>
    <t>40x10x20</t>
  </si>
  <si>
    <t>Peso Kg.</t>
  </si>
  <si>
    <t>Cabeza</t>
  </si>
  <si>
    <t>Soga</t>
  </si>
  <si>
    <t>Canto</t>
  </si>
  <si>
    <t>Observacion</t>
  </si>
  <si>
    <t>Cara Vista</t>
  </si>
  <si>
    <t>Tarrajeo</t>
  </si>
  <si>
    <t>Esp./Junta</t>
  </si>
  <si>
    <t>Dimen./cm</t>
  </si>
  <si>
    <t>OBSERVACION</t>
  </si>
  <si>
    <t>DIMEN./cm</t>
  </si>
  <si>
    <t>Esp./JUNTA</t>
  </si>
  <si>
    <t>OPCION 1:</t>
  </si>
  <si>
    <t>OPCION 2:</t>
  </si>
  <si>
    <t>CABEZA</t>
  </si>
  <si>
    <t>SOGA</t>
  </si>
  <si>
    <t>CANTO</t>
  </si>
  <si>
    <t>Largo</t>
  </si>
  <si>
    <t>ancho</t>
  </si>
  <si>
    <t>espesor</t>
  </si>
  <si>
    <t>% DESPERDICIO =</t>
  </si>
  <si>
    <t>DETALLES DEL LADRILLO</t>
  </si>
  <si>
    <t>LARGO</t>
  </si>
  <si>
    <t>ANCHO</t>
  </si>
  <si>
    <t xml:space="preserve">OPCION CON DATOS PROPUESTOS </t>
  </si>
  <si>
    <t>MURO</t>
  </si>
  <si>
    <t>AREA</t>
  </si>
  <si>
    <t>JUNTA</t>
  </si>
  <si>
    <t>% DESPERDICIO</t>
  </si>
  <si>
    <t>MORTERO</t>
  </si>
  <si>
    <t>CANT. DE LADRILLOS x m2 =</t>
  </si>
  <si>
    <t>CANT. TOTAL DE LADRILLOS =</t>
  </si>
  <si>
    <t>VOL. DEL LADRILLO =</t>
  </si>
  <si>
    <t>VOL. DE MURO x m2 =</t>
  </si>
  <si>
    <t>VOL. DEL MORTERO x m2 =</t>
  </si>
  <si>
    <t>CANT. DE LADRILLOS + % DESP. =</t>
  </si>
  <si>
    <t>VOL. DEL MORTERO + % DESP. =</t>
  </si>
  <si>
    <t>VOL. TOTAL DEL MORTERO. =</t>
  </si>
  <si>
    <t>FORMULA: CANT. LADRILLOS x m2</t>
  </si>
  <si>
    <t>FORMULA: Vol. MORTERO x m2</t>
  </si>
  <si>
    <t>TIPO DE ASENTADO:</t>
  </si>
  <si>
    <t>H</t>
  </si>
  <si>
    <t>M</t>
  </si>
  <si>
    <t>DOSIFICACION</t>
  </si>
  <si>
    <t>CANTIDAD DE MATERIALES EN MURO: CEMENTO - ARENA - AGUA</t>
  </si>
  <si>
    <t>TABLA N°1</t>
  </si>
  <si>
    <t>CEMENTO</t>
  </si>
  <si>
    <t>ARENA</t>
  </si>
  <si>
    <t>Cal</t>
  </si>
  <si>
    <t>AGUA</t>
  </si>
  <si>
    <t>(Mezcla)</t>
  </si>
  <si>
    <t>(bolsa)</t>
  </si>
  <si>
    <t>(m3)</t>
  </si>
  <si>
    <t>(Lt)</t>
  </si>
  <si>
    <t>1.1.4</t>
  </si>
  <si>
    <t>1.1.5</t>
  </si>
  <si>
    <t>1.1.6</t>
  </si>
  <si>
    <t>1.1.5.3</t>
  </si>
  <si>
    <t>1.3.12</t>
  </si>
  <si>
    <t>CEMENTO =</t>
  </si>
  <si>
    <t>ARENA =</t>
  </si>
  <si>
    <t>CAL =</t>
  </si>
  <si>
    <t>AGUA =</t>
  </si>
  <si>
    <t>CAL</t>
  </si>
  <si>
    <t>TABLA N°2</t>
  </si>
  <si>
    <t>(Kg)</t>
  </si>
  <si>
    <t>BOLSA DE CEMENTO =</t>
  </si>
  <si>
    <t>BOLSA DE CAL =</t>
  </si>
  <si>
    <t>https://www.youtube.com/c/HebMerma</t>
  </si>
  <si>
    <t>…mira mas contenidos en mis redes sociales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</si>
</sst>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"/>
    <numFmt numFmtId="165" formatCode="General&quot;cm&quot;"/>
    <numFmt numFmtId="166" formatCode="0.00&quot;m&quot;"/>
    <numFmt numFmtId="167" formatCode="0.00&quot;m2&quot;"/>
    <numFmt numFmtId="168" formatCode="General&quot;%&quot;"/>
    <numFmt numFmtId="169" formatCode="0.0&quot;cm&quot;"/>
    <numFmt numFmtId="170" formatCode="General&quot;unid.&quot;"/>
    <numFmt numFmtId="171" formatCode="General&quot;m3&quot;"/>
    <numFmt numFmtId="172" formatCode="General&quot;m3/m2&quot;"/>
    <numFmt numFmtId="173" formatCode="General&quot;m2&quot;"/>
    <numFmt numFmtId="174" formatCode="General\ &quot;bolsas&quot;"/>
    <numFmt numFmtId="175" formatCode="General\ &quot;m3&quot;"/>
    <numFmt numFmtId="176" formatCode="General\ &quot;Lt&quot;"/>
    <numFmt numFmtId="177" formatCode="General\ &quot;bls&quot;"/>
    <numFmt numFmtId="180" formatCode="General\ &quot;unid.&quot;"/>
    <numFmt numFmtId="181" formatCode="General\ &quot;m3/m2&quot;"/>
    <numFmt numFmtId="182" formatCode="General\ &quot;Kg&quot;"/>
  </numFmts>
  <fonts count="26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i/>
      <sz val="11"/>
      <name val="Arial Narrow"/>
      <family val="2"/>
    </font>
    <font>
      <sz val="10"/>
      <color rgb="FF002060"/>
      <name val="Arial Narrow"/>
      <family val="2"/>
    </font>
    <font>
      <sz val="11"/>
      <color rgb="FF002060"/>
      <name val="Arial Narrow"/>
      <family val="2"/>
    </font>
    <font>
      <b/>
      <sz val="11"/>
      <color rgb="FF002060"/>
      <name val="Arial Narrow"/>
      <family val="2"/>
    </font>
    <font>
      <b/>
      <i/>
      <sz val="11"/>
      <color rgb="FF002060"/>
      <name val="Arial Narrow"/>
      <family val="2"/>
    </font>
    <font>
      <b/>
      <i/>
      <sz val="11"/>
      <color theme="8" tint="-0.499984740745262"/>
      <name val="Arial Narrow"/>
      <family val="2"/>
    </font>
    <font>
      <b/>
      <sz val="11"/>
      <color theme="2"/>
      <name val="Arial Narrow"/>
      <family val="2"/>
    </font>
    <font>
      <b/>
      <sz val="11"/>
      <color rgb="FFFF0000"/>
      <name val="Arial Narrow"/>
      <family val="2"/>
    </font>
    <font>
      <b/>
      <sz val="8"/>
      <color rgb="FF002060"/>
      <name val="Arial Narrow"/>
      <family val="2"/>
    </font>
    <font>
      <sz val="11"/>
      <color theme="2"/>
      <name val="Arial Narrow"/>
      <family val="2"/>
    </font>
    <font>
      <b/>
      <sz val="11"/>
      <color theme="7" tint="0.39997558519241921"/>
      <name val="Arial Narrow"/>
      <family val="2"/>
    </font>
    <font>
      <sz val="11"/>
      <color theme="7" tint="0.39997558519241921"/>
      <name val="Arial Narrow"/>
      <family val="2"/>
    </font>
    <font>
      <sz val="10"/>
      <color theme="7" tint="0.39997558519241921"/>
      <name val="Arial Narrow"/>
      <family val="2"/>
    </font>
    <font>
      <i/>
      <sz val="10"/>
      <color theme="2"/>
      <name val="Arial Narrow"/>
      <family val="2"/>
    </font>
    <font>
      <b/>
      <sz val="18"/>
      <color rgb="FF002060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u/>
      <sz val="10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61">
    <xf numFmtId="0" fontId="0" fillId="0" borderId="0" xfId="0"/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Border="1" applyProtection="1">
      <protection hidden="1"/>
    </xf>
    <xf numFmtId="0" fontId="1" fillId="7" borderId="0" xfId="0" applyFont="1" applyFill="1" applyBorder="1" applyProtection="1">
      <protection hidden="1"/>
    </xf>
    <xf numFmtId="0" fontId="1" fillId="7" borderId="5" xfId="0" applyFont="1" applyFill="1" applyBorder="1" applyProtection="1">
      <protection hidden="1"/>
    </xf>
    <xf numFmtId="0" fontId="1" fillId="7" borderId="6" xfId="0" applyFont="1" applyFill="1" applyBorder="1" applyProtection="1">
      <protection hidden="1"/>
    </xf>
    <xf numFmtId="0" fontId="1" fillId="7" borderId="8" xfId="0" applyFont="1" applyFill="1" applyBorder="1" applyProtection="1">
      <protection hidden="1"/>
    </xf>
    <xf numFmtId="0" fontId="1" fillId="7" borderId="9" xfId="0" applyFont="1" applyFill="1" applyBorder="1" applyProtection="1">
      <protection hidden="1"/>
    </xf>
    <xf numFmtId="0" fontId="2" fillId="5" borderId="10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Protection="1">
      <protection hidden="1"/>
    </xf>
    <xf numFmtId="0" fontId="1" fillId="5" borderId="4" xfId="0" applyFont="1" applyFill="1" applyBorder="1" applyProtection="1">
      <protection hidden="1"/>
    </xf>
    <xf numFmtId="0" fontId="1" fillId="5" borderId="5" xfId="0" applyFont="1" applyFill="1" applyBorder="1" applyProtection="1">
      <protection hidden="1"/>
    </xf>
    <xf numFmtId="0" fontId="1" fillId="5" borderId="6" xfId="0" applyFont="1" applyFill="1" applyBorder="1" applyProtection="1">
      <protection hidden="1"/>
    </xf>
    <xf numFmtId="165" fontId="1" fillId="5" borderId="5" xfId="0" applyNumberFormat="1" applyFont="1" applyFill="1" applyBorder="1" applyProtection="1">
      <protection hidden="1"/>
    </xf>
    <xf numFmtId="0" fontId="1" fillId="5" borderId="7" xfId="0" applyFont="1" applyFill="1" applyBorder="1" applyProtection="1">
      <protection hidden="1"/>
    </xf>
    <xf numFmtId="0" fontId="1" fillId="5" borderId="8" xfId="0" applyFont="1" applyFill="1" applyBorder="1" applyProtection="1">
      <protection hidden="1"/>
    </xf>
    <xf numFmtId="0" fontId="1" fillId="5" borderId="9" xfId="0" applyFont="1" applyFill="1" applyBorder="1" applyProtection="1">
      <protection hidden="1"/>
    </xf>
    <xf numFmtId="165" fontId="6" fillId="5" borderId="0" xfId="0" applyNumberFormat="1" applyFont="1" applyFill="1" applyBorder="1" applyAlignment="1" applyProtection="1">
      <alignment horizontal="center"/>
      <protection hidden="1"/>
    </xf>
    <xf numFmtId="165" fontId="6" fillId="5" borderId="0" xfId="0" applyNumberFormat="1" applyFont="1" applyFill="1" applyBorder="1" applyAlignment="1" applyProtection="1">
      <alignment horizontal="left" vertical="top" indent="4"/>
      <protection hidden="1"/>
    </xf>
    <xf numFmtId="0" fontId="8" fillId="5" borderId="0" xfId="0" applyFont="1" applyFill="1" applyBorder="1" applyAlignment="1" applyProtection="1">
      <alignment horizontal="right"/>
      <protection hidden="1"/>
    </xf>
    <xf numFmtId="0" fontId="8" fillId="7" borderId="2" xfId="0" applyFont="1" applyFill="1" applyBorder="1" applyAlignment="1" applyProtection="1">
      <alignment horizontal="center" vertical="center"/>
      <protection hidden="1"/>
    </xf>
    <xf numFmtId="0" fontId="12" fillId="7" borderId="0" xfId="0" applyFont="1" applyFill="1" applyBorder="1" applyProtection="1">
      <protection hidden="1"/>
    </xf>
    <xf numFmtId="167" fontId="8" fillId="5" borderId="1" xfId="0" applyNumberFormat="1" applyFont="1" applyFill="1" applyBorder="1" applyProtection="1">
      <protection hidden="1"/>
    </xf>
    <xf numFmtId="166" fontId="7" fillId="3" borderId="1" xfId="0" applyNumberFormat="1" applyFont="1" applyFill="1" applyBorder="1" applyAlignment="1" applyProtection="1">
      <alignment horizontal="center" vertical="center"/>
      <protection locked="0" hidden="1"/>
    </xf>
    <xf numFmtId="167" fontId="7" fillId="3" borderId="1" xfId="0" applyNumberFormat="1" applyFont="1" applyFill="1" applyBorder="1" applyAlignment="1" applyProtection="1">
      <alignment horizontal="right" vertical="center"/>
      <protection locked="0" hidden="1"/>
    </xf>
    <xf numFmtId="0" fontId="13" fillId="5" borderId="0" xfId="0" applyFont="1" applyFill="1" applyBorder="1" applyAlignment="1" applyProtection="1">
      <alignment horizontal="right"/>
      <protection hidden="1"/>
    </xf>
    <xf numFmtId="0" fontId="13" fillId="5" borderId="0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 indent="1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5" fillId="5" borderId="19" xfId="0" applyFont="1" applyFill="1" applyBorder="1" applyAlignment="1" applyProtection="1">
      <alignment horizontal="left" indent="1"/>
      <protection hidden="1"/>
    </xf>
    <xf numFmtId="0" fontId="2" fillId="6" borderId="21" xfId="0" applyFont="1" applyFill="1" applyBorder="1" applyAlignment="1" applyProtection="1">
      <alignment horizontal="center" vertical="center"/>
      <protection hidden="1"/>
    </xf>
    <xf numFmtId="0" fontId="4" fillId="6" borderId="22" xfId="0" applyFont="1" applyFill="1" applyBorder="1" applyProtection="1">
      <protection hidden="1"/>
    </xf>
    <xf numFmtId="0" fontId="1" fillId="6" borderId="22" xfId="0" applyFont="1" applyFill="1" applyBorder="1" applyAlignment="1" applyProtection="1">
      <alignment horizontal="center"/>
      <protection hidden="1"/>
    </xf>
    <xf numFmtId="0" fontId="1" fillId="6" borderId="23" xfId="0" applyFont="1" applyFill="1" applyBorder="1" applyAlignment="1" applyProtection="1">
      <alignment horizontal="center"/>
      <protection hidden="1"/>
    </xf>
    <xf numFmtId="164" fontId="1" fillId="6" borderId="22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9" xfId="0" applyNumberFormat="1" applyFont="1" applyFill="1" applyBorder="1" applyAlignment="1" applyProtection="1">
      <alignment horizontal="center"/>
      <protection hidden="1"/>
    </xf>
    <xf numFmtId="0" fontId="1" fillId="5" borderId="17" xfId="0" applyFont="1" applyFill="1" applyBorder="1" applyAlignment="1" applyProtection="1">
      <alignment horizontal="center"/>
      <protection hidden="1"/>
    </xf>
    <xf numFmtId="0" fontId="1" fillId="5" borderId="20" xfId="0" applyFont="1" applyFill="1" applyBorder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15" fillId="5" borderId="3" xfId="0" applyFont="1" applyFill="1" applyBorder="1" applyAlignment="1" applyProtection="1">
      <alignment horizontal="center" vertical="center"/>
      <protection hidden="1"/>
    </xf>
    <xf numFmtId="0" fontId="16" fillId="5" borderId="3" xfId="0" applyFont="1" applyFill="1" applyBorder="1" applyProtection="1"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16" fillId="5" borderId="0" xfId="0" applyFont="1" applyFill="1" applyBorder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165" fontId="9" fillId="5" borderId="0" xfId="0" applyNumberFormat="1" applyFont="1" applyFill="1" applyBorder="1" applyAlignment="1" applyProtection="1">
      <alignment horizontal="left" indent="1"/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165" fontId="14" fillId="2" borderId="0" xfId="0" applyNumberFormat="1" applyFont="1" applyFill="1" applyProtection="1">
      <protection hidden="1"/>
    </xf>
    <xf numFmtId="1" fontId="14" fillId="2" borderId="0" xfId="0" applyNumberFormat="1" applyFont="1" applyFill="1" applyAlignment="1" applyProtection="1">
      <alignment horizontal="center"/>
      <protection hidden="1"/>
    </xf>
    <xf numFmtId="168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165" fontId="1" fillId="3" borderId="2" xfId="0" applyNumberFormat="1" applyFont="1" applyFill="1" applyBorder="1" applyAlignment="1" applyProtection="1">
      <alignment horizontal="center" vertical="center"/>
      <protection locked="0" hidden="1"/>
    </xf>
    <xf numFmtId="169" fontId="1" fillId="3" borderId="2" xfId="0" applyNumberFormat="1" applyFont="1" applyFill="1" applyBorder="1" applyAlignment="1" applyProtection="1">
      <alignment horizontal="center" vertical="center"/>
      <protection locked="0" hidden="1"/>
    </xf>
    <xf numFmtId="168" fontId="1" fillId="3" borderId="2" xfId="0" applyNumberFormat="1" applyFont="1" applyFill="1" applyBorder="1" applyAlignment="1" applyProtection="1">
      <alignment horizontal="center" vertical="center"/>
      <protection locked="0" hidden="1"/>
    </xf>
    <xf numFmtId="173" fontId="1" fillId="3" borderId="2" xfId="0" applyNumberFormat="1" applyFont="1" applyFill="1" applyBorder="1" applyAlignment="1" applyProtection="1">
      <alignment horizontal="center" vertical="center"/>
      <protection locked="0" hidden="1"/>
    </xf>
    <xf numFmtId="0" fontId="10" fillId="7" borderId="6" xfId="0" applyFont="1" applyFill="1" applyBorder="1" applyAlignment="1" applyProtection="1">
      <alignment horizontal="right"/>
      <protection hidden="1"/>
    </xf>
    <xf numFmtId="0" fontId="10" fillId="7" borderId="0" xfId="0" applyFont="1" applyFill="1" applyBorder="1" applyAlignment="1" applyProtection="1">
      <alignment horizontal="right"/>
      <protection hidden="1"/>
    </xf>
    <xf numFmtId="165" fontId="9" fillId="5" borderId="0" xfId="0" applyNumberFormat="1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10" fillId="7" borderId="6" xfId="0" applyFont="1" applyFill="1" applyBorder="1" applyAlignment="1" applyProtection="1">
      <alignment horizontal="right"/>
      <protection hidden="1"/>
    </xf>
    <xf numFmtId="0" fontId="10" fillId="7" borderId="0" xfId="0" applyFont="1" applyFill="1" applyBorder="1" applyAlignment="1" applyProtection="1">
      <alignment horizontal="right"/>
      <protection hidden="1"/>
    </xf>
    <xf numFmtId="0" fontId="8" fillId="7" borderId="2" xfId="0" applyFont="1" applyFill="1" applyBorder="1" applyAlignment="1" applyProtection="1">
      <alignment horizontal="center"/>
      <protection hidden="1"/>
    </xf>
    <xf numFmtId="0" fontId="8" fillId="7" borderId="2" xfId="0" applyFont="1" applyFill="1" applyBorder="1" applyAlignment="1" applyProtection="1">
      <alignment horizontal="center" vertical="center"/>
      <protection hidden="1"/>
    </xf>
    <xf numFmtId="0" fontId="19" fillId="5" borderId="11" xfId="0" applyFont="1" applyFill="1" applyBorder="1" applyAlignment="1" applyProtection="1">
      <alignment horizontal="center"/>
      <protection hidden="1"/>
    </xf>
    <xf numFmtId="0" fontId="19" fillId="5" borderId="12" xfId="0" applyFont="1" applyFill="1" applyBorder="1" applyAlignment="1" applyProtection="1">
      <alignment horizontal="center"/>
      <protection hidden="1"/>
    </xf>
    <xf numFmtId="0" fontId="19" fillId="5" borderId="13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7" fillId="3" borderId="24" xfId="0" applyFont="1" applyFill="1" applyBorder="1" applyAlignment="1" applyProtection="1">
      <alignment horizontal="center" vertical="center"/>
      <protection locked="0" hidden="1"/>
    </xf>
    <xf numFmtId="0" fontId="7" fillId="5" borderId="1" xfId="0" applyFont="1" applyFill="1" applyBorder="1" applyAlignment="1" applyProtection="1">
      <alignment horizontal="center"/>
      <protection hidden="1"/>
    </xf>
    <xf numFmtId="165" fontId="7" fillId="5" borderId="1" xfId="0" applyNumberFormat="1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174" fontId="7" fillId="5" borderId="1" xfId="0" applyNumberFormat="1" applyFont="1" applyFill="1" applyBorder="1" applyAlignment="1" applyProtection="1">
      <alignment horizontal="center" vertical="center"/>
      <protection hidden="1"/>
    </xf>
    <xf numFmtId="175" fontId="7" fillId="5" borderId="1" xfId="0" applyNumberFormat="1" applyFont="1" applyFill="1" applyBorder="1" applyAlignment="1" applyProtection="1">
      <alignment horizontal="center" vertical="center"/>
      <protection hidden="1"/>
    </xf>
    <xf numFmtId="176" fontId="7" fillId="5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25" xfId="0" applyFont="1" applyFill="1" applyBorder="1" applyAlignment="1" applyProtection="1">
      <alignment horizontal="center" vertical="center"/>
      <protection hidden="1"/>
    </xf>
    <xf numFmtId="0" fontId="2" fillId="5" borderId="26" xfId="0" applyFont="1" applyFill="1" applyBorder="1" applyAlignment="1" applyProtection="1">
      <alignment horizontal="center" vertical="center"/>
      <protection hidden="1"/>
    </xf>
    <xf numFmtId="0" fontId="3" fillId="5" borderId="26" xfId="0" applyFont="1" applyFill="1" applyBorder="1" applyAlignment="1" applyProtection="1">
      <alignment horizontal="center" vertical="center"/>
      <protection hidden="1"/>
    </xf>
    <xf numFmtId="0" fontId="2" fillId="5" borderId="27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/>
      <protection hidden="1"/>
    </xf>
    <xf numFmtId="165" fontId="6" fillId="5" borderId="0" xfId="0" applyNumberFormat="1" applyFont="1" applyFill="1" applyBorder="1" applyAlignment="1" applyProtection="1">
      <alignment horizontal="left" vertical="top" indent="2"/>
      <protection hidden="1"/>
    </xf>
    <xf numFmtId="170" fontId="1" fillId="5" borderId="14" xfId="0" applyNumberFormat="1" applyFont="1" applyFill="1" applyBorder="1" applyAlignment="1" applyProtection="1">
      <alignment horizontal="left" indent="1"/>
      <protection hidden="1"/>
    </xf>
    <xf numFmtId="170" fontId="1" fillId="5" borderId="15" xfId="0" applyNumberFormat="1" applyFont="1" applyFill="1" applyBorder="1" applyAlignment="1" applyProtection="1">
      <alignment horizontal="left" indent="1"/>
      <protection hidden="1"/>
    </xf>
    <xf numFmtId="171" fontId="1" fillId="5" borderId="14" xfId="0" applyNumberFormat="1" applyFont="1" applyFill="1" applyBorder="1" applyAlignment="1" applyProtection="1">
      <alignment horizontal="left" indent="1"/>
      <protection hidden="1"/>
    </xf>
    <xf numFmtId="171" fontId="1" fillId="5" borderId="15" xfId="0" applyNumberFormat="1" applyFont="1" applyFill="1" applyBorder="1" applyAlignment="1" applyProtection="1">
      <alignment horizontal="left" indent="1"/>
      <protection hidden="1"/>
    </xf>
    <xf numFmtId="172" fontId="1" fillId="5" borderId="14" xfId="0" applyNumberFormat="1" applyFont="1" applyFill="1" applyBorder="1" applyAlignment="1" applyProtection="1">
      <alignment horizontal="left" indent="1"/>
      <protection hidden="1"/>
    </xf>
    <xf numFmtId="172" fontId="1" fillId="5" borderId="15" xfId="0" applyNumberFormat="1" applyFont="1" applyFill="1" applyBorder="1" applyAlignment="1" applyProtection="1">
      <alignment horizontal="left" indent="1"/>
      <protection hidden="1"/>
    </xf>
    <xf numFmtId="176" fontId="1" fillId="5" borderId="1" xfId="0" applyNumberFormat="1" applyFont="1" applyFill="1" applyBorder="1" applyAlignment="1" applyProtection="1">
      <alignment horizontal="left" vertical="center"/>
      <protection hidden="1"/>
    </xf>
    <xf numFmtId="175" fontId="1" fillId="5" borderId="1" xfId="0" applyNumberFormat="1" applyFont="1" applyFill="1" applyBorder="1" applyAlignment="1" applyProtection="1">
      <alignment horizontal="left" vertical="center"/>
      <protection hidden="1"/>
    </xf>
    <xf numFmtId="177" fontId="1" fillId="5" borderId="1" xfId="0" applyNumberFormat="1" applyFont="1" applyFill="1" applyBorder="1" applyAlignment="1" applyProtection="1">
      <alignment horizontal="left" vertical="center"/>
      <protection hidden="1"/>
    </xf>
    <xf numFmtId="172" fontId="1" fillId="5" borderId="0" xfId="0" applyNumberFormat="1" applyFont="1" applyFill="1" applyBorder="1" applyProtection="1">
      <protection hidden="1"/>
    </xf>
    <xf numFmtId="171" fontId="1" fillId="5" borderId="8" xfId="0" applyNumberFormat="1" applyFont="1" applyFill="1" applyBorder="1" applyProtection="1">
      <protection hidden="1"/>
    </xf>
    <xf numFmtId="0" fontId="1" fillId="5" borderId="0" xfId="0" applyNumberFormat="1" applyFont="1" applyFill="1" applyBorder="1" applyProtection="1">
      <protection hidden="1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2" fillId="5" borderId="29" xfId="0" applyFont="1" applyFill="1" applyBorder="1" applyAlignment="1" applyProtection="1">
      <alignment horizontal="center"/>
      <protection hidden="1"/>
    </xf>
    <xf numFmtId="0" fontId="20" fillId="8" borderId="28" xfId="0" applyFont="1" applyFill="1" applyBorder="1" applyAlignment="1" applyProtection="1">
      <alignment horizontal="center" vertical="center"/>
      <protection hidden="1"/>
    </xf>
    <xf numFmtId="0" fontId="21" fillId="8" borderId="28" xfId="0" applyFont="1" applyFill="1" applyBorder="1" applyAlignment="1" applyProtection="1">
      <alignment horizontal="center"/>
      <protection hidden="1"/>
    </xf>
    <xf numFmtId="0" fontId="21" fillId="8" borderId="29" xfId="0" applyFont="1" applyFill="1" applyBorder="1" applyAlignment="1" applyProtection="1">
      <alignment horizontal="center"/>
      <protection hidden="1"/>
    </xf>
    <xf numFmtId="164" fontId="2" fillId="5" borderId="30" xfId="0" applyNumberFormat="1" applyFont="1" applyFill="1" applyBorder="1" applyAlignment="1" applyProtection="1">
      <alignment horizontal="center"/>
      <protection hidden="1"/>
    </xf>
    <xf numFmtId="164" fontId="2" fillId="5" borderId="16" xfId="0" applyNumberFormat="1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164" fontId="2" fillId="4" borderId="16" xfId="0" applyNumberFormat="1" applyFont="1" applyFill="1" applyBorder="1" applyAlignment="1" applyProtection="1">
      <alignment horizontal="center"/>
      <protection hidden="1"/>
    </xf>
    <xf numFmtId="164" fontId="2" fillId="4" borderId="18" xfId="0" applyNumberFormat="1" applyFont="1" applyFill="1" applyBorder="1" applyAlignment="1" applyProtection="1">
      <alignment horizontal="center"/>
      <protection hidden="1"/>
    </xf>
    <xf numFmtId="0" fontId="1" fillId="5" borderId="27" xfId="0" applyFont="1" applyFill="1" applyBorder="1" applyAlignment="1" applyProtection="1">
      <alignment horizontal="center" vertical="center"/>
      <protection hidden="1"/>
    </xf>
    <xf numFmtId="2" fontId="1" fillId="5" borderId="27" xfId="0" applyNumberFormat="1" applyFont="1" applyFill="1" applyBorder="1" applyAlignment="1" applyProtection="1">
      <alignment horizontal="center" vertical="center"/>
      <protection hidden="1"/>
    </xf>
    <xf numFmtId="1" fontId="1" fillId="5" borderId="27" xfId="0" applyNumberFormat="1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/>
      <protection hidden="1"/>
    </xf>
    <xf numFmtId="1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 applyProtection="1">
      <alignment horizontal="center" vertical="center"/>
      <protection hidden="1"/>
    </xf>
    <xf numFmtId="2" fontId="1" fillId="5" borderId="1" xfId="0" applyNumberFormat="1" applyFont="1" applyFill="1" applyBorder="1" applyAlignment="1" applyProtection="1">
      <alignment horizontal="center" vertical="center"/>
      <protection hidden="1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0" fontId="1" fillId="5" borderId="17" xfId="0" applyFont="1" applyFill="1" applyBorder="1" applyAlignment="1" applyProtection="1">
      <alignment horizontal="center" vertical="center"/>
      <protection hidden="1"/>
    </xf>
    <xf numFmtId="0" fontId="1" fillId="4" borderId="19" xfId="0" applyFont="1" applyFill="1" applyBorder="1" applyAlignment="1" applyProtection="1">
      <alignment horizontal="center" vertical="center"/>
      <protection hidden="1"/>
    </xf>
    <xf numFmtId="2" fontId="1" fillId="4" borderId="19" xfId="0" applyNumberFormat="1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4" borderId="29" xfId="0" applyFont="1" applyFill="1" applyBorder="1" applyAlignment="1" applyProtection="1">
      <alignment horizontal="center" vertical="center"/>
      <protection hidden="1"/>
    </xf>
    <xf numFmtId="0" fontId="1" fillId="4" borderId="29" xfId="0" applyFont="1" applyFill="1" applyBorder="1" applyAlignment="1" applyProtection="1">
      <alignment horizontal="center"/>
      <protection hidden="1"/>
    </xf>
    <xf numFmtId="0" fontId="1" fillId="5" borderId="29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8" fillId="7" borderId="11" xfId="0" applyFont="1" applyFill="1" applyBorder="1" applyAlignment="1" applyProtection="1">
      <alignment horizontal="center" vertical="center"/>
      <protection hidden="1"/>
    </xf>
    <xf numFmtId="0" fontId="8" fillId="7" borderId="11" xfId="0" applyFont="1" applyFill="1" applyBorder="1" applyAlignment="1" applyProtection="1">
      <alignment horizontal="center" vertical="center"/>
      <protection hidden="1"/>
    </xf>
    <xf numFmtId="0" fontId="8" fillId="7" borderId="28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29" xfId="0" applyFont="1" applyFill="1" applyBorder="1" applyAlignment="1" applyProtection="1">
      <alignment horizontal="center" vertical="center"/>
      <protection hidden="1"/>
    </xf>
    <xf numFmtId="0" fontId="8" fillId="7" borderId="8" xfId="0" applyFont="1" applyFill="1" applyBorder="1" applyAlignment="1" applyProtection="1">
      <alignment horizontal="center" vertical="center"/>
      <protection hidden="1"/>
    </xf>
    <xf numFmtId="0" fontId="8" fillId="7" borderId="9" xfId="0" applyFont="1" applyFill="1" applyBorder="1" applyAlignment="1" applyProtection="1">
      <alignment horizontal="center" vertical="center"/>
      <protection hidden="1"/>
    </xf>
    <xf numFmtId="0" fontId="8" fillId="7" borderId="12" xfId="0" applyFont="1" applyFill="1" applyBorder="1" applyAlignment="1" applyProtection="1">
      <alignment horizontal="center" vertical="center"/>
      <protection hidden="1"/>
    </xf>
    <xf numFmtId="0" fontId="8" fillId="7" borderId="13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right"/>
      <protection hidden="1"/>
    </xf>
    <xf numFmtId="0" fontId="2" fillId="7" borderId="7" xfId="0" applyFont="1" applyFill="1" applyBorder="1" applyProtection="1">
      <protection hidden="1"/>
    </xf>
    <xf numFmtId="0" fontId="2" fillId="7" borderId="8" xfId="0" applyFont="1" applyFill="1" applyBorder="1" applyProtection="1">
      <protection hidden="1"/>
    </xf>
    <xf numFmtId="175" fontId="1" fillId="7" borderId="1" xfId="0" applyNumberFormat="1" applyFont="1" applyFill="1" applyBorder="1" applyAlignment="1" applyProtection="1">
      <alignment horizontal="left"/>
      <protection hidden="1"/>
    </xf>
    <xf numFmtId="180" fontId="1" fillId="7" borderId="1" xfId="0" applyNumberFormat="1" applyFont="1" applyFill="1" applyBorder="1" applyAlignment="1" applyProtection="1">
      <alignment horizontal="left"/>
      <protection hidden="1"/>
    </xf>
    <xf numFmtId="181" fontId="1" fillId="7" borderId="1" xfId="0" applyNumberFormat="1" applyFont="1" applyFill="1" applyBorder="1" applyAlignment="1" applyProtection="1">
      <alignment horizontal="left"/>
      <protection hidden="1"/>
    </xf>
    <xf numFmtId="182" fontId="1" fillId="7" borderId="1" xfId="0" applyNumberFormat="1" applyFont="1" applyFill="1" applyBorder="1" applyAlignment="1" applyProtection="1">
      <alignment horizontal="left"/>
      <protection hidden="1"/>
    </xf>
    <xf numFmtId="0" fontId="12" fillId="7" borderId="0" xfId="0" applyFont="1" applyFill="1" applyBorder="1" applyAlignment="1" applyProtection="1">
      <alignment horizontal="right" vertical="center"/>
      <protection hidden="1"/>
    </xf>
    <xf numFmtId="182" fontId="1" fillId="3" borderId="1" xfId="0" applyNumberFormat="1" applyFont="1" applyFill="1" applyBorder="1" applyProtection="1">
      <protection locked="0"/>
    </xf>
    <xf numFmtId="174" fontId="7" fillId="7" borderId="0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Border="1" applyProtection="1">
      <protection hidden="1"/>
    </xf>
    <xf numFmtId="0" fontId="9" fillId="7" borderId="0" xfId="0" applyFont="1" applyFill="1" applyBorder="1" applyAlignment="1" applyProtection="1">
      <alignment horizontal="right"/>
      <protection hidden="1"/>
    </xf>
    <xf numFmtId="176" fontId="1" fillId="7" borderId="0" xfId="0" applyNumberFormat="1" applyFont="1" applyFill="1" applyBorder="1" applyAlignment="1" applyProtection="1">
      <alignment horizontal="left"/>
      <protection hidden="1"/>
    </xf>
    <xf numFmtId="0" fontId="2" fillId="7" borderId="6" xfId="0" applyFont="1" applyFill="1" applyBorder="1" applyProtection="1">
      <protection hidden="1"/>
    </xf>
    <xf numFmtId="176" fontId="1" fillId="7" borderId="8" xfId="0" applyNumberFormat="1" applyFont="1" applyFill="1" applyBorder="1" applyAlignment="1" applyProtection="1">
      <alignment horizontal="left"/>
      <protection hidden="1"/>
    </xf>
    <xf numFmtId="176" fontId="1" fillId="7" borderId="1" xfId="0" applyNumberFormat="1" applyFont="1" applyFill="1" applyBorder="1" applyAlignment="1" applyProtection="1">
      <alignment horizontal="left"/>
      <protection hidden="1"/>
    </xf>
    <xf numFmtId="0" fontId="23" fillId="5" borderId="8" xfId="0" applyFont="1" applyFill="1" applyBorder="1" applyAlignment="1" applyProtection="1">
      <alignment horizontal="right"/>
      <protection hidden="1"/>
    </xf>
    <xf numFmtId="0" fontId="24" fillId="5" borderId="0" xfId="1" applyFont="1" applyFill="1"/>
    <xf numFmtId="0" fontId="25" fillId="7" borderId="0" xfId="1" applyFont="1" applyFill="1" applyBorder="1" applyProtection="1"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38</xdr:row>
      <xdr:rowOff>66675</xdr:rowOff>
    </xdr:from>
    <xdr:to>
      <xdr:col>11</xdr:col>
      <xdr:colOff>553805</xdr:colOff>
      <xdr:row>42</xdr:row>
      <xdr:rowOff>78313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8050" y="8439150"/>
          <a:ext cx="1763480" cy="86888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oneCellAnchor>
    <xdr:from>
      <xdr:col>6</xdr:col>
      <xdr:colOff>38099</xdr:colOff>
      <xdr:row>39</xdr:row>
      <xdr:rowOff>19050</xdr:rowOff>
    </xdr:from>
    <xdr:ext cx="2124076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4448174" y="7867650"/>
              <a:ext cx="2124076" cy="581025"/>
            </a:xfrm>
            <a:prstGeom prst="rect">
              <a:avLst/>
            </a:prstGeom>
            <a:solidFill>
              <a:schemeClr val="bg2"/>
            </a:solidFill>
            <a:ln w="28575">
              <a:prstDash val="sysDot"/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6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𝑪𝑳</m:t>
                    </m:r>
                    <m:r>
                      <a:rPr lang="es-PE" sz="16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6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6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d>
                          <m:dPr>
                            <m:ctrlPr>
                              <a:rPr lang="es-PE" sz="16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PE" sz="16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𝑳</m:t>
                            </m:r>
                            <m:r>
                              <a:rPr lang="es-PE" sz="16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PE" sz="16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𝑱</m:t>
                            </m:r>
                          </m:e>
                        </m:d>
                        <m:r>
                          <a:rPr lang="es-PE" sz="16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d>
                          <m:dPr>
                            <m:ctrlPr>
                              <a:rPr lang="es-PE" sz="16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PE" sz="16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𝑯</m:t>
                            </m:r>
                            <m:r>
                              <a:rPr lang="es-PE" sz="16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PE" sz="16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𝑱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s-PE" sz="16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4448174" y="7867650"/>
              <a:ext cx="2124076" cy="581025"/>
            </a:xfrm>
            <a:prstGeom prst="rect">
              <a:avLst/>
            </a:prstGeom>
            <a:solidFill>
              <a:schemeClr val="bg2"/>
            </a:solidFill>
            <a:ln w="28575">
              <a:prstDash val="sysDot"/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PE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𝑪𝑳=𝟏/((𝑳+𝑱)∗(𝑯+𝑱) )</a:t>
              </a:r>
              <a:endParaRPr lang="es-PE" sz="16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 editAs="oneCell">
    <xdr:from>
      <xdr:col>10</xdr:col>
      <xdr:colOff>400050</xdr:colOff>
      <xdr:row>0</xdr:row>
      <xdr:rowOff>0</xdr:rowOff>
    </xdr:from>
    <xdr:to>
      <xdr:col>12</xdr:col>
      <xdr:colOff>419100</xdr:colOff>
      <xdr:row>6</xdr:row>
      <xdr:rowOff>107067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1543050" cy="1545342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13</xdr:row>
      <xdr:rowOff>9525</xdr:rowOff>
    </xdr:from>
    <xdr:to>
      <xdr:col>6</xdr:col>
      <xdr:colOff>200582</xdr:colOff>
      <xdr:row>22</xdr:row>
      <xdr:rowOff>86006</xdr:rowOff>
    </xdr:to>
    <xdr:pic>
      <xdr:nvPicPr>
        <xdr:cNvPr id="61" name="Imagen 6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952750"/>
          <a:ext cx="3991532" cy="2010056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6</xdr:row>
      <xdr:rowOff>85725</xdr:rowOff>
    </xdr:from>
    <xdr:to>
      <xdr:col>11</xdr:col>
      <xdr:colOff>39186</xdr:colOff>
      <xdr:row>19</xdr:row>
      <xdr:rowOff>0</xdr:rowOff>
    </xdr:to>
    <xdr:grpSp>
      <xdr:nvGrpSpPr>
        <xdr:cNvPr id="77" name="Grupo 76"/>
        <xdr:cNvGrpSpPr/>
      </xdr:nvGrpSpPr>
      <xdr:grpSpPr>
        <a:xfrm>
          <a:off x="5821363" y="1538288"/>
          <a:ext cx="2687136" cy="2668587"/>
          <a:chOff x="5381625" y="1476375"/>
          <a:chExt cx="2687136" cy="2667000"/>
        </a:xfrm>
      </xdr:grpSpPr>
      <xdr:pic>
        <xdr:nvPicPr>
          <xdr:cNvPr id="59" name="Imagen 58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81625" y="1476375"/>
            <a:ext cx="2687136" cy="2458444"/>
          </a:xfrm>
          <a:prstGeom prst="rect">
            <a:avLst/>
          </a:prstGeom>
        </xdr:spPr>
      </xdr:pic>
      <xdr:cxnSp macro="">
        <xdr:nvCxnSpPr>
          <xdr:cNvPr id="63" name="Conector recto de flecha 62"/>
          <xdr:cNvCxnSpPr/>
        </xdr:nvCxnSpPr>
        <xdr:spPr>
          <a:xfrm>
            <a:off x="7191375" y="4048125"/>
            <a:ext cx="53340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Conector recto 64"/>
          <xdr:cNvCxnSpPr/>
        </xdr:nvCxnSpPr>
        <xdr:spPr>
          <a:xfrm>
            <a:off x="6038850" y="3552825"/>
            <a:ext cx="0" cy="59055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Conector recto 67"/>
          <xdr:cNvCxnSpPr/>
        </xdr:nvCxnSpPr>
        <xdr:spPr>
          <a:xfrm>
            <a:off x="7743825" y="3362325"/>
            <a:ext cx="1" cy="78105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Conector recto de flecha 73"/>
          <xdr:cNvCxnSpPr/>
        </xdr:nvCxnSpPr>
        <xdr:spPr>
          <a:xfrm flipH="1">
            <a:off x="6048376" y="4048125"/>
            <a:ext cx="561974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9</xdr:col>
      <xdr:colOff>408416</xdr:colOff>
      <xdr:row>43</xdr:row>
      <xdr:rowOff>179166</xdr:rowOff>
    </xdr:from>
    <xdr:to>
      <xdr:col>11</xdr:col>
      <xdr:colOff>476250</xdr:colOff>
      <xdr:row>51</xdr:row>
      <xdr:rowOff>96965</xdr:rowOff>
    </xdr:to>
    <xdr:pic>
      <xdr:nvPicPr>
        <xdr:cNvPr id="78" name="Imagen 7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2141" y="9618441"/>
          <a:ext cx="1591834" cy="1594199"/>
        </a:xfrm>
        <a:prstGeom prst="rect">
          <a:avLst/>
        </a:prstGeom>
      </xdr:spPr>
    </xdr:pic>
    <xdr:clientData/>
  </xdr:twoCellAnchor>
  <xdr:oneCellAnchor>
    <xdr:from>
      <xdr:col>6</xdr:col>
      <xdr:colOff>9525</xdr:colOff>
      <xdr:row>44</xdr:row>
      <xdr:rowOff>19051</xdr:rowOff>
    </xdr:from>
    <xdr:ext cx="2381250" cy="2667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9" name="CuadroTexto 78"/>
            <xdr:cNvSpPr txBox="1"/>
          </xdr:nvSpPr>
          <xdr:spPr>
            <a:xfrm>
              <a:off x="4600575" y="9667876"/>
              <a:ext cx="2381250" cy="266700"/>
            </a:xfrm>
            <a:prstGeom prst="rect">
              <a:avLst/>
            </a:prstGeom>
            <a:solidFill>
              <a:schemeClr val="bg2"/>
            </a:solidFill>
            <a:ln w="28575">
              <a:prstDash val="sysDot"/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6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𝑽𝒎𝒐</m:t>
                    </m:r>
                    <m:r>
                      <a:rPr lang="es-PE" sz="16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s-PE" sz="16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𝑽𝒎𝒖</m:t>
                    </m:r>
                    <m:r>
                      <a:rPr lang="es-PE" sz="16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−(</m:t>
                    </m:r>
                    <m:r>
                      <a:rPr lang="es-PE" sz="16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𝑪𝑳</m:t>
                    </m:r>
                    <m:r>
                      <a:rPr lang="es-PE" sz="16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∗</m:t>
                    </m:r>
                    <m:r>
                      <a:rPr lang="es-PE" sz="16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𝑽𝒍𝒂</m:t>
                    </m:r>
                    <m:r>
                      <a:rPr lang="es-PE" sz="16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PE" sz="1600" b="1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79" name="CuadroTexto 78"/>
            <xdr:cNvSpPr txBox="1"/>
          </xdr:nvSpPr>
          <xdr:spPr>
            <a:xfrm>
              <a:off x="4600575" y="9667876"/>
              <a:ext cx="2381250" cy="266700"/>
            </a:xfrm>
            <a:prstGeom prst="rect">
              <a:avLst/>
            </a:prstGeom>
            <a:solidFill>
              <a:schemeClr val="bg2"/>
            </a:solidFill>
            <a:ln w="28575">
              <a:prstDash val="sysDot"/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PE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𝑽𝒎𝒐=𝑽𝒎𝒖−(𝑪𝑳∗𝑽𝒍𝒂)</a:t>
              </a:r>
              <a:endParaRPr lang="es-PE" sz="16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 editAs="oneCell">
    <xdr:from>
      <xdr:col>1</xdr:col>
      <xdr:colOff>785545</xdr:colOff>
      <xdr:row>8</xdr:row>
      <xdr:rowOff>26756</xdr:rowOff>
    </xdr:from>
    <xdr:to>
      <xdr:col>4</xdr:col>
      <xdr:colOff>350111</xdr:colOff>
      <xdr:row>11</xdr:row>
      <xdr:rowOff>207070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120" y="1884131"/>
          <a:ext cx="1945816" cy="837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H53"/>
  <sheetViews>
    <sheetView showGridLines="0" showRowColHeaders="0" tabSelected="1" zoomScale="120" zoomScaleNormal="120" workbookViewId="0">
      <selection activeCell="C5" sqref="C5"/>
    </sheetView>
  </sheetViews>
  <sheetFormatPr baseColWidth="10" defaultRowHeight="16.5" x14ac:dyDescent="0.3"/>
  <cols>
    <col min="1" max="1" width="6.140625" style="1" customWidth="1"/>
    <col min="2" max="2" width="12.85546875" style="1" customWidth="1"/>
    <col min="3" max="4" width="11.42578125" style="1"/>
    <col min="5" max="5" width="15.5703125" style="1" customWidth="1"/>
    <col min="6" max="6" width="12.42578125" style="1" customWidth="1"/>
    <col min="7" max="12" width="11.42578125" style="1"/>
    <col min="13" max="13" width="7.28515625" style="1" customWidth="1"/>
    <col min="14" max="14" width="8.7109375" style="2" customWidth="1"/>
    <col min="15" max="15" width="12.85546875" style="1" customWidth="1"/>
    <col min="16" max="16384" width="11.42578125" style="1"/>
  </cols>
  <sheetData>
    <row r="1" spans="2:34" ht="17.25" thickBot="1" x14ac:dyDescent="0.35"/>
    <row r="2" spans="2:34" ht="24.75" thickTop="1" thickBot="1" x14ac:dyDescent="0.4">
      <c r="B2" s="71" t="s">
        <v>63</v>
      </c>
      <c r="C2" s="72"/>
      <c r="D2" s="72"/>
      <c r="E2" s="72"/>
      <c r="F2" s="72"/>
      <c r="G2" s="72"/>
      <c r="H2" s="72"/>
      <c r="I2" s="72"/>
      <c r="J2" s="72"/>
      <c r="K2" s="72"/>
      <c r="L2" s="73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2:34" ht="18" thickTop="1" thickBot="1" x14ac:dyDescent="0.35">
      <c r="G3" s="41" t="s">
        <v>36</v>
      </c>
      <c r="H3" s="41" t="s">
        <v>37</v>
      </c>
      <c r="I3" s="41" t="s">
        <v>38</v>
      </c>
      <c r="J3" s="41"/>
      <c r="N3" s="130" t="s">
        <v>64</v>
      </c>
      <c r="O3" s="130"/>
      <c r="P3" s="130"/>
      <c r="Q3" s="130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2:34" ht="18" thickTop="1" thickBot="1" x14ac:dyDescent="0.35">
      <c r="B4" s="9" t="s">
        <v>1</v>
      </c>
      <c r="C4" s="84" t="s">
        <v>2</v>
      </c>
      <c r="D4" s="87" t="s">
        <v>30</v>
      </c>
      <c r="E4" s="85" t="s">
        <v>29</v>
      </c>
      <c r="F4" s="86" t="s">
        <v>28</v>
      </c>
      <c r="G4" s="42" t="s">
        <v>33</v>
      </c>
      <c r="H4" s="42" t="s">
        <v>34</v>
      </c>
      <c r="I4" s="42" t="s">
        <v>35</v>
      </c>
      <c r="J4" s="43"/>
      <c r="K4" s="10"/>
      <c r="L4" s="11"/>
      <c r="N4" s="127" t="s">
        <v>1</v>
      </c>
      <c r="O4" s="103" t="s">
        <v>2</v>
      </c>
      <c r="P4" s="128" t="s">
        <v>26</v>
      </c>
      <c r="Q4" s="129" t="s">
        <v>27</v>
      </c>
      <c r="R4" s="51" t="s">
        <v>19</v>
      </c>
      <c r="S4" s="51" t="s">
        <v>20</v>
      </c>
      <c r="T4" s="51" t="s">
        <v>21</v>
      </c>
      <c r="U4" s="51" t="s">
        <v>22</v>
      </c>
      <c r="V4" s="51" t="s">
        <v>23</v>
      </c>
      <c r="W4" s="41"/>
      <c r="X4" s="41" t="s">
        <v>36</v>
      </c>
      <c r="Y4" s="41" t="s">
        <v>37</v>
      </c>
      <c r="Z4" s="41" t="s">
        <v>38</v>
      </c>
      <c r="AA4" s="50"/>
      <c r="AB4" s="41"/>
      <c r="AC4" s="41"/>
      <c r="AD4" s="41"/>
      <c r="AE4" s="41"/>
      <c r="AF4" s="41"/>
      <c r="AG4" s="41"/>
      <c r="AH4" s="41"/>
    </row>
    <row r="5" spans="2:34" ht="18" thickTop="1" thickBot="1" x14ac:dyDescent="0.35">
      <c r="B5" s="77">
        <v>2</v>
      </c>
      <c r="C5" s="78" t="str">
        <f t="shared" ref="C5:I5" si="0">IFERROR((VLOOKUP($B5,$N$4:$V$22,MATCH(C$4,$N$4:$V$4,0),0)),"")</f>
        <v>Corriente</v>
      </c>
      <c r="D5" s="79">
        <f t="shared" si="0"/>
        <v>1.5</v>
      </c>
      <c r="E5" s="78" t="str">
        <f t="shared" si="0"/>
        <v>24x12x6</v>
      </c>
      <c r="F5" s="78" t="str">
        <f t="shared" si="0"/>
        <v>Tarrajeo</v>
      </c>
      <c r="G5" s="44">
        <f t="shared" si="0"/>
        <v>99</v>
      </c>
      <c r="H5" s="44">
        <f t="shared" si="0"/>
        <v>52</v>
      </c>
      <c r="I5" s="44">
        <f t="shared" si="0"/>
        <v>29</v>
      </c>
      <c r="J5" s="45"/>
      <c r="K5" s="3"/>
      <c r="L5" s="12"/>
      <c r="N5" s="32"/>
      <c r="O5" s="33" t="s">
        <v>3</v>
      </c>
      <c r="P5" s="34"/>
      <c r="Q5" s="35"/>
      <c r="R5" s="51"/>
      <c r="S5" s="51"/>
      <c r="T5" s="51"/>
      <c r="U5" s="51"/>
      <c r="V5" s="51"/>
      <c r="W5" s="41"/>
      <c r="X5" s="41"/>
      <c r="Y5" s="41"/>
      <c r="Z5" s="41"/>
      <c r="AA5" s="50"/>
      <c r="AB5" s="51" t="s">
        <v>60</v>
      </c>
      <c r="AC5" s="51"/>
      <c r="AD5" s="51" t="s">
        <v>61</v>
      </c>
      <c r="AE5" s="51"/>
      <c r="AF5" s="41"/>
      <c r="AG5" s="41"/>
      <c r="AH5" s="41"/>
    </row>
    <row r="6" spans="2:34" ht="17.25" thickTop="1" x14ac:dyDescent="0.3">
      <c r="B6" s="88" t="s">
        <v>62</v>
      </c>
      <c r="C6" s="80" t="s">
        <v>65</v>
      </c>
      <c r="D6" s="80" t="s">
        <v>66</v>
      </c>
      <c r="E6" s="80" t="s">
        <v>82</v>
      </c>
      <c r="F6" s="80" t="s">
        <v>68</v>
      </c>
      <c r="G6" s="44">
        <f>IFERROR((VLOOKUP($B5,$W$4:$Z$22,MATCH(G$3,$W$4:$Z$4,0),0)),"")</f>
        <v>24</v>
      </c>
      <c r="H6" s="44">
        <f>IFERROR((VLOOKUP($B5,$W$4:$Z$22,MATCH(H$3,$W$4:$Z$4,0),0)),"")</f>
        <v>12</v>
      </c>
      <c r="I6" s="44">
        <f>IFERROR((VLOOKUP($B5,$W$4:$Z$22,MATCH(I$3,$W$4:$Z$4,0),0)),"")</f>
        <v>6</v>
      </c>
      <c r="J6" s="45"/>
      <c r="K6" s="3"/>
      <c r="L6" s="14"/>
      <c r="N6" s="29">
        <v>1</v>
      </c>
      <c r="O6" s="28" t="s">
        <v>4</v>
      </c>
      <c r="P6" s="37">
        <v>1</v>
      </c>
      <c r="Q6" s="39" t="s">
        <v>11</v>
      </c>
      <c r="R6" s="51">
        <v>2.2000000000000002</v>
      </c>
      <c r="S6" s="56">
        <v>110</v>
      </c>
      <c r="T6" s="56">
        <v>57</v>
      </c>
      <c r="U6" s="56">
        <v>31</v>
      </c>
      <c r="V6" s="51" t="s">
        <v>24</v>
      </c>
      <c r="W6" s="41">
        <f>N6</f>
        <v>1</v>
      </c>
      <c r="X6" s="41">
        <v>24</v>
      </c>
      <c r="Y6" s="41">
        <v>12</v>
      </c>
      <c r="Z6" s="41">
        <v>6</v>
      </c>
      <c r="AA6" s="52" t="s">
        <v>33</v>
      </c>
      <c r="AB6" s="52">
        <f>IF(D25="","",IF(I33="https://www.youtube.com/c/HebMerma",(ROUNDUP(G5+(D25*G5)/100,0)),""))</f>
        <v>104</v>
      </c>
      <c r="AC6" s="53" t="str">
        <f>IF(AD6="","","UNIDADES")</f>
        <v>UNIDADES</v>
      </c>
      <c r="AD6" s="54">
        <f>IFERROR((ROUNDUP(IF(B5="","",IF(J22="",$J$21*$AB$6,$J$22*$AB$6)),0)),"")</f>
        <v>1248</v>
      </c>
      <c r="AE6" s="53" t="str">
        <f>IF(AB6="","","UNIDADES")</f>
        <v>UNIDADES</v>
      </c>
      <c r="AF6" s="41"/>
      <c r="AG6" s="41"/>
      <c r="AH6" s="41"/>
    </row>
    <row r="7" spans="2:34" x14ac:dyDescent="0.3">
      <c r="B7" s="102">
        <v>1.5</v>
      </c>
      <c r="C7" s="81">
        <f>IF(B7="","",VLOOKUP($B$7,$O$27:$S$40,2))</f>
        <v>7</v>
      </c>
      <c r="D7" s="82">
        <f>IF(B7="","",VLOOKUP($B$7,$O$27:$S$40,3))</f>
        <v>1.07</v>
      </c>
      <c r="E7" s="81">
        <f>IF(B7="","",VLOOKUP($B$7,$O$27:$S$40,4))</f>
        <v>0</v>
      </c>
      <c r="F7" s="83">
        <f>IF(B7="","",VLOOKUP($B$7,$O$27:$S$40,5))</f>
        <v>255</v>
      </c>
      <c r="G7" s="3"/>
      <c r="H7" s="3"/>
      <c r="I7" s="3"/>
      <c r="J7" s="3"/>
      <c r="K7" s="3"/>
      <c r="L7" s="12"/>
      <c r="N7" s="29">
        <v>2</v>
      </c>
      <c r="O7" s="28" t="s">
        <v>4</v>
      </c>
      <c r="P7" s="37">
        <v>1.5</v>
      </c>
      <c r="Q7" s="39" t="s">
        <v>11</v>
      </c>
      <c r="R7" s="51">
        <v>2.2000000000000002</v>
      </c>
      <c r="S7" s="56">
        <v>99</v>
      </c>
      <c r="T7" s="56">
        <v>52</v>
      </c>
      <c r="U7" s="56">
        <v>29</v>
      </c>
      <c r="V7" s="51" t="s">
        <v>25</v>
      </c>
      <c r="W7" s="41">
        <f>N7</f>
        <v>2</v>
      </c>
      <c r="X7" s="41">
        <v>24</v>
      </c>
      <c r="Y7" s="41">
        <v>12</v>
      </c>
      <c r="Z7" s="41">
        <v>6</v>
      </c>
      <c r="AA7" s="52" t="s">
        <v>34</v>
      </c>
      <c r="AB7" s="52">
        <f>IF(D25="","",(ROUNDUP(H5+(D25*H5)/100,0)))</f>
        <v>55</v>
      </c>
      <c r="AC7" s="53" t="str">
        <f>IF(AD7="","","UNIDADES")</f>
        <v>UNIDADES</v>
      </c>
      <c r="AD7" s="54">
        <f>IFERROR((ROUNDUP(IF(B5="","",IF(J22="",$J$21*$AB$7,$J$22*$AB$7)),)),"")</f>
        <v>660</v>
      </c>
      <c r="AE7" s="53" t="str">
        <f>IF(AB7="","","UNIDADES")</f>
        <v>UNIDADES</v>
      </c>
      <c r="AF7" s="41"/>
      <c r="AG7" s="41"/>
      <c r="AH7" s="41"/>
    </row>
    <row r="8" spans="2:34" x14ac:dyDescent="0.3">
      <c r="B8" s="13"/>
      <c r="C8" s="3"/>
      <c r="D8" s="3"/>
      <c r="E8" s="3"/>
      <c r="F8" s="3"/>
      <c r="G8" s="3"/>
      <c r="H8" s="3"/>
      <c r="I8" s="3"/>
      <c r="J8" s="3"/>
      <c r="K8" s="3"/>
      <c r="L8" s="12"/>
      <c r="N8" s="29">
        <v>3</v>
      </c>
      <c r="O8" s="28" t="s">
        <v>5</v>
      </c>
      <c r="P8" s="37">
        <v>1</v>
      </c>
      <c r="Q8" s="39" t="s">
        <v>12</v>
      </c>
      <c r="R8" s="51">
        <v>3</v>
      </c>
      <c r="S8" s="56">
        <v>57</v>
      </c>
      <c r="T8" s="56">
        <v>36</v>
      </c>
      <c r="U8" s="56">
        <v>25</v>
      </c>
      <c r="V8" s="51" t="s">
        <v>24</v>
      </c>
      <c r="W8" s="41">
        <f t="shared" ref="W8:W22" si="1">N8</f>
        <v>3</v>
      </c>
      <c r="X8" s="41">
        <v>24</v>
      </c>
      <c r="Y8" s="41">
        <v>14</v>
      </c>
      <c r="Z8" s="41">
        <v>10</v>
      </c>
      <c r="AA8" s="52" t="s">
        <v>35</v>
      </c>
      <c r="AB8" s="52">
        <f>IF(D25="","",(ROUNDUP(I5+(D25*I5)/100,0)))</f>
        <v>31</v>
      </c>
      <c r="AC8" s="53" t="str">
        <f>IF(AD8="","","UNIDADES")</f>
        <v>UNIDADES</v>
      </c>
      <c r="AD8" s="54">
        <f>IFERROR((ROUNDUP(IF(B5="","",IF(J22="",$J$21*$AB$8,$J$22*$AB$8)),0)),"")</f>
        <v>372</v>
      </c>
      <c r="AE8" s="53" t="str">
        <f>IF(AB8="","","UNIDADES")</f>
        <v>UNIDADES</v>
      </c>
      <c r="AF8" s="41"/>
      <c r="AG8" s="41"/>
      <c r="AH8" s="41"/>
    </row>
    <row r="9" spans="2:34" x14ac:dyDescent="0.3">
      <c r="B9" s="13"/>
      <c r="C9" s="18">
        <f>IF(B5="","",G6)</f>
        <v>24</v>
      </c>
      <c r="D9" s="3"/>
      <c r="E9" s="3"/>
      <c r="F9" s="3"/>
      <c r="G9" s="3"/>
      <c r="H9" s="27" t="s">
        <v>31</v>
      </c>
      <c r="I9" s="3"/>
      <c r="J9" s="3"/>
      <c r="K9" s="3"/>
      <c r="L9" s="12"/>
      <c r="N9" s="29">
        <v>4</v>
      </c>
      <c r="O9" s="28" t="s">
        <v>5</v>
      </c>
      <c r="P9" s="37">
        <v>1.5</v>
      </c>
      <c r="Q9" s="39" t="s">
        <v>12</v>
      </c>
      <c r="R9" s="51">
        <v>3</v>
      </c>
      <c r="S9" s="56">
        <v>53</v>
      </c>
      <c r="T9" s="56">
        <v>34</v>
      </c>
      <c r="U9" s="56">
        <v>24</v>
      </c>
      <c r="V9" s="51" t="s">
        <v>25</v>
      </c>
      <c r="W9" s="41">
        <f t="shared" si="1"/>
        <v>4</v>
      </c>
      <c r="X9" s="41">
        <v>24</v>
      </c>
      <c r="Y9" s="41">
        <v>14</v>
      </c>
      <c r="Z9" s="41">
        <v>10</v>
      </c>
      <c r="AA9" s="41"/>
      <c r="AB9" s="41" t="s">
        <v>60</v>
      </c>
      <c r="AC9" s="41" t="s">
        <v>61</v>
      </c>
      <c r="AD9" s="41"/>
      <c r="AE9" s="41"/>
      <c r="AF9" s="41"/>
      <c r="AG9" s="41"/>
      <c r="AH9" s="41"/>
    </row>
    <row r="10" spans="2:34" ht="17.25" thickBot="1" x14ac:dyDescent="0.35">
      <c r="B10" s="13"/>
      <c r="C10" s="3"/>
      <c r="D10" s="3"/>
      <c r="E10" s="19">
        <f>IF(B5="","",I6)</f>
        <v>6</v>
      </c>
      <c r="F10" s="3"/>
      <c r="G10" s="3"/>
      <c r="H10" s="3"/>
      <c r="I10" s="3"/>
      <c r="J10" s="3"/>
      <c r="K10" s="3"/>
      <c r="L10" s="12"/>
      <c r="N10" s="29">
        <v>5</v>
      </c>
      <c r="O10" s="28" t="s">
        <v>6</v>
      </c>
      <c r="P10" s="37">
        <v>1.5</v>
      </c>
      <c r="Q10" s="39" t="s">
        <v>13</v>
      </c>
      <c r="R10" s="51">
        <v>2</v>
      </c>
      <c r="S10" s="56">
        <v>64</v>
      </c>
      <c r="T10" s="56">
        <v>34</v>
      </c>
      <c r="U10" s="56">
        <v>29</v>
      </c>
      <c r="V10" s="51" t="s">
        <v>25</v>
      </c>
      <c r="W10" s="41">
        <f t="shared" si="1"/>
        <v>5</v>
      </c>
      <c r="X10" s="41">
        <v>24</v>
      </c>
      <c r="Y10" s="41">
        <v>12</v>
      </c>
      <c r="Z10" s="41">
        <v>10</v>
      </c>
      <c r="AA10" s="52" t="s">
        <v>33</v>
      </c>
      <c r="AB10" s="41">
        <f>G5</f>
        <v>99</v>
      </c>
      <c r="AC10" s="55">
        <f>C9</f>
        <v>24</v>
      </c>
      <c r="AD10" s="41"/>
      <c r="AE10" s="41"/>
      <c r="AF10" s="41"/>
      <c r="AG10" s="41"/>
      <c r="AH10" s="41"/>
    </row>
    <row r="11" spans="2:34" ht="18" thickTop="1" thickBot="1" x14ac:dyDescent="0.35">
      <c r="B11" s="13"/>
      <c r="C11" s="3"/>
      <c r="D11" s="3"/>
      <c r="E11" s="3"/>
      <c r="F11" s="3"/>
      <c r="G11" s="3"/>
      <c r="H11" s="3"/>
      <c r="I11" s="3"/>
      <c r="J11" s="3"/>
      <c r="K11" s="3"/>
      <c r="L11" s="12"/>
      <c r="N11" s="32"/>
      <c r="O11" s="33" t="s">
        <v>7</v>
      </c>
      <c r="P11" s="36"/>
      <c r="Q11" s="35"/>
      <c r="R11" s="51"/>
      <c r="S11" s="56"/>
      <c r="T11" s="56"/>
      <c r="U11" s="56"/>
      <c r="V11" s="51"/>
      <c r="W11" s="41"/>
      <c r="X11" s="41"/>
      <c r="Y11" s="41"/>
      <c r="Z11" s="41"/>
      <c r="AA11" s="52" t="s">
        <v>34</v>
      </c>
      <c r="AB11" s="41">
        <f>H5</f>
        <v>52</v>
      </c>
      <c r="AC11" s="55">
        <f>C13</f>
        <v>12</v>
      </c>
      <c r="AD11" s="41"/>
      <c r="AE11" s="41"/>
      <c r="AF11" s="41"/>
      <c r="AG11" s="41"/>
      <c r="AH11" s="41"/>
    </row>
    <row r="12" spans="2:34" ht="17.25" thickTop="1" x14ac:dyDescent="0.3">
      <c r="B12" s="13"/>
      <c r="C12" s="3"/>
      <c r="D12" s="3"/>
      <c r="E12" s="3"/>
      <c r="F12" s="3"/>
      <c r="G12" s="3"/>
      <c r="H12" s="24">
        <v>3</v>
      </c>
      <c r="I12" s="3"/>
      <c r="J12" s="3"/>
      <c r="K12" s="3"/>
      <c r="L12" s="12"/>
      <c r="N12" s="29">
        <v>6</v>
      </c>
      <c r="O12" s="28" t="s">
        <v>5</v>
      </c>
      <c r="P12" s="37">
        <v>1</v>
      </c>
      <c r="Q12" s="39" t="s">
        <v>14</v>
      </c>
      <c r="R12" s="51"/>
      <c r="S12" s="56">
        <v>70</v>
      </c>
      <c r="T12" s="56">
        <v>35</v>
      </c>
      <c r="U12" s="56">
        <v>30</v>
      </c>
      <c r="V12" s="51" t="s">
        <v>24</v>
      </c>
      <c r="W12" s="41">
        <f t="shared" si="1"/>
        <v>6</v>
      </c>
      <c r="X12" s="41">
        <v>25</v>
      </c>
      <c r="Y12" s="41">
        <v>12</v>
      </c>
      <c r="Z12" s="41">
        <v>10</v>
      </c>
      <c r="AA12" s="52" t="s">
        <v>35</v>
      </c>
      <c r="AB12" s="41">
        <f>I5</f>
        <v>29</v>
      </c>
      <c r="AC12" s="55">
        <f>E10</f>
        <v>6</v>
      </c>
      <c r="AD12" s="41"/>
      <c r="AE12" s="41"/>
      <c r="AF12" s="41"/>
      <c r="AG12" s="41"/>
      <c r="AH12" s="41"/>
    </row>
    <row r="13" spans="2:34" x14ac:dyDescent="0.3">
      <c r="B13" s="13"/>
      <c r="C13" s="89">
        <f>IF(B5="","",H6)</f>
        <v>12</v>
      </c>
      <c r="D13" s="3"/>
      <c r="E13" s="3"/>
      <c r="F13" s="3"/>
      <c r="G13" s="3"/>
      <c r="H13" s="3"/>
      <c r="I13" s="3"/>
      <c r="J13" s="3"/>
      <c r="K13" s="3"/>
      <c r="L13" s="12"/>
      <c r="N13" s="29">
        <v>7</v>
      </c>
      <c r="O13" s="28" t="s">
        <v>5</v>
      </c>
      <c r="P13" s="37">
        <v>1.5</v>
      </c>
      <c r="Q13" s="39" t="s">
        <v>14</v>
      </c>
      <c r="R13" s="51"/>
      <c r="S13" s="56">
        <v>64</v>
      </c>
      <c r="T13" s="56">
        <v>33</v>
      </c>
      <c r="U13" s="56">
        <v>28</v>
      </c>
      <c r="V13" s="51" t="s">
        <v>25</v>
      </c>
      <c r="W13" s="41">
        <f t="shared" si="1"/>
        <v>7</v>
      </c>
      <c r="X13" s="41">
        <v>25</v>
      </c>
      <c r="Y13" s="41">
        <v>12</v>
      </c>
      <c r="Z13" s="41">
        <v>10</v>
      </c>
      <c r="AA13" s="41"/>
      <c r="AB13" s="41"/>
      <c r="AC13" s="41"/>
      <c r="AD13" s="41"/>
      <c r="AE13" s="41"/>
      <c r="AF13" s="41"/>
      <c r="AG13" s="41"/>
      <c r="AH13" s="41"/>
    </row>
    <row r="14" spans="2:34" x14ac:dyDescent="0.3">
      <c r="B14" s="13"/>
      <c r="C14" s="3"/>
      <c r="D14" s="3"/>
      <c r="E14" s="3"/>
      <c r="F14" s="3"/>
      <c r="G14" s="3"/>
      <c r="H14" s="3"/>
      <c r="I14" s="3"/>
      <c r="J14" s="3"/>
      <c r="K14" s="3"/>
      <c r="L14" s="12"/>
      <c r="N14" s="29">
        <v>8</v>
      </c>
      <c r="O14" s="28" t="s">
        <v>5</v>
      </c>
      <c r="P14" s="37">
        <v>1</v>
      </c>
      <c r="Q14" s="39" t="s">
        <v>15</v>
      </c>
      <c r="R14" s="51"/>
      <c r="S14" s="56">
        <v>61</v>
      </c>
      <c r="T14" s="56">
        <v>35</v>
      </c>
      <c r="U14" s="56">
        <v>26</v>
      </c>
      <c r="V14" s="51" t="s">
        <v>24</v>
      </c>
      <c r="W14" s="41">
        <f t="shared" si="1"/>
        <v>8</v>
      </c>
      <c r="X14" s="41">
        <v>25</v>
      </c>
      <c r="Y14" s="41">
        <v>14</v>
      </c>
      <c r="Z14" s="41">
        <v>10</v>
      </c>
      <c r="AA14" s="41"/>
      <c r="AB14" s="41"/>
      <c r="AC14" s="41"/>
      <c r="AD14" s="41"/>
      <c r="AE14" s="41"/>
      <c r="AF14" s="41"/>
      <c r="AG14" s="41"/>
      <c r="AH14" s="41"/>
    </row>
    <row r="15" spans="2:34" x14ac:dyDescent="0.3">
      <c r="B15" s="13"/>
      <c r="C15" s="3"/>
      <c r="D15" s="3"/>
      <c r="E15" s="3"/>
      <c r="F15" s="3"/>
      <c r="G15" s="3"/>
      <c r="H15" s="3"/>
      <c r="I15" s="3"/>
      <c r="J15" s="3"/>
      <c r="K15" s="3"/>
      <c r="L15" s="12"/>
      <c r="N15" s="29">
        <v>9</v>
      </c>
      <c r="O15" s="28" t="s">
        <v>5</v>
      </c>
      <c r="P15" s="37">
        <v>1.5</v>
      </c>
      <c r="Q15" s="39" t="s">
        <v>15</v>
      </c>
      <c r="R15" s="51"/>
      <c r="S15" s="56">
        <v>56</v>
      </c>
      <c r="T15" s="56">
        <v>33</v>
      </c>
      <c r="U15" s="56">
        <v>24</v>
      </c>
      <c r="V15" s="51" t="s">
        <v>25</v>
      </c>
      <c r="W15" s="41">
        <f t="shared" si="1"/>
        <v>9</v>
      </c>
      <c r="X15" s="41">
        <v>25</v>
      </c>
      <c r="Y15" s="41">
        <v>14</v>
      </c>
      <c r="Z15" s="41">
        <v>10</v>
      </c>
      <c r="AA15" s="41"/>
      <c r="AB15" s="41"/>
      <c r="AC15" s="41"/>
      <c r="AD15" s="41"/>
      <c r="AE15" s="41"/>
      <c r="AF15" s="41"/>
      <c r="AG15" s="41"/>
      <c r="AH15" s="41"/>
    </row>
    <row r="16" spans="2:34" x14ac:dyDescent="0.3">
      <c r="B16" s="13"/>
      <c r="C16" s="3"/>
      <c r="D16" s="3"/>
      <c r="E16" s="3"/>
      <c r="F16" s="3"/>
      <c r="G16" s="3"/>
      <c r="H16" s="3"/>
      <c r="I16" s="3"/>
      <c r="J16" s="3"/>
      <c r="K16" s="3"/>
      <c r="L16" s="12"/>
      <c r="N16" s="29">
        <v>10</v>
      </c>
      <c r="O16" s="28" t="s">
        <v>4</v>
      </c>
      <c r="P16" s="37">
        <v>1.5</v>
      </c>
      <c r="Q16" s="39" t="s">
        <v>16</v>
      </c>
      <c r="R16" s="51"/>
      <c r="S16" s="56">
        <v>124</v>
      </c>
      <c r="T16" s="56">
        <v>62</v>
      </c>
      <c r="U16" s="56">
        <v>38</v>
      </c>
      <c r="V16" s="51" t="s">
        <v>24</v>
      </c>
      <c r="W16" s="41">
        <f t="shared" si="1"/>
        <v>10</v>
      </c>
      <c r="X16" s="41">
        <v>22</v>
      </c>
      <c r="Y16" s="41">
        <v>10.5</v>
      </c>
      <c r="Z16" s="41">
        <v>5.5</v>
      </c>
      <c r="AA16" s="41"/>
      <c r="AB16" s="41"/>
      <c r="AC16" s="41"/>
      <c r="AD16" s="41"/>
      <c r="AE16" s="41"/>
      <c r="AF16" s="41"/>
      <c r="AG16" s="41"/>
      <c r="AH16" s="41"/>
    </row>
    <row r="17" spans="2:34" x14ac:dyDescent="0.3">
      <c r="B17" s="13"/>
      <c r="C17" s="3"/>
      <c r="D17" s="3"/>
      <c r="E17" s="3"/>
      <c r="F17" s="3"/>
      <c r="G17" s="3"/>
      <c r="H17" s="3"/>
      <c r="I17" s="3"/>
      <c r="J17" s="3"/>
      <c r="K17" s="3"/>
      <c r="L17" s="12"/>
      <c r="N17" s="29">
        <v>11</v>
      </c>
      <c r="O17" s="28" t="s">
        <v>4</v>
      </c>
      <c r="P17" s="37">
        <v>1</v>
      </c>
      <c r="Q17" s="39" t="s">
        <v>16</v>
      </c>
      <c r="R17" s="51"/>
      <c r="S17" s="56">
        <v>111</v>
      </c>
      <c r="T17" s="56">
        <v>57</v>
      </c>
      <c r="U17" s="56">
        <v>35</v>
      </c>
      <c r="V17" s="51" t="s">
        <v>25</v>
      </c>
      <c r="W17" s="41">
        <f t="shared" si="1"/>
        <v>11</v>
      </c>
      <c r="X17" s="41">
        <v>22</v>
      </c>
      <c r="Y17" s="41">
        <v>10.5</v>
      </c>
      <c r="Z17" s="41">
        <v>5.5</v>
      </c>
      <c r="AA17" s="41"/>
      <c r="AB17" s="41"/>
      <c r="AC17" s="41"/>
      <c r="AD17" s="41"/>
      <c r="AE17" s="41"/>
      <c r="AF17" s="41"/>
      <c r="AG17" s="41"/>
      <c r="AH17" s="41"/>
    </row>
    <row r="18" spans="2:34" x14ac:dyDescent="0.3">
      <c r="B18" s="13"/>
      <c r="C18" s="48">
        <f>IF(B5="","",D5)</f>
        <v>1.5</v>
      </c>
      <c r="D18" s="3"/>
      <c r="E18" s="3"/>
      <c r="F18" s="3"/>
      <c r="G18" s="3"/>
      <c r="H18" s="3"/>
      <c r="I18" s="3"/>
      <c r="J18" s="3"/>
      <c r="K18" s="3"/>
      <c r="L18" s="12"/>
      <c r="N18" s="29">
        <v>12</v>
      </c>
      <c r="O18" s="28" t="s">
        <v>8</v>
      </c>
      <c r="P18" s="37">
        <v>1</v>
      </c>
      <c r="Q18" s="39" t="s">
        <v>17</v>
      </c>
      <c r="R18" s="51"/>
      <c r="S18" s="56">
        <v>77</v>
      </c>
      <c r="T18" s="56">
        <v>31</v>
      </c>
      <c r="U18" s="56">
        <v>40</v>
      </c>
      <c r="V18" s="51" t="s">
        <v>24</v>
      </c>
      <c r="W18" s="41">
        <f t="shared" si="1"/>
        <v>12</v>
      </c>
      <c r="X18" s="41">
        <v>24</v>
      </c>
      <c r="Y18" s="41">
        <v>9</v>
      </c>
      <c r="Z18" s="41">
        <v>12</v>
      </c>
      <c r="AA18" s="41"/>
      <c r="AB18" s="41"/>
      <c r="AC18" s="41"/>
      <c r="AD18" s="41"/>
      <c r="AE18" s="41"/>
      <c r="AF18" s="41"/>
      <c r="AG18" s="41"/>
      <c r="AH18" s="41"/>
    </row>
    <row r="19" spans="2:34" ht="17.25" thickBot="1" x14ac:dyDescent="0.35">
      <c r="B19" s="13"/>
      <c r="C19" s="3"/>
      <c r="D19" s="3"/>
      <c r="E19" s="3"/>
      <c r="F19" s="3"/>
      <c r="G19" s="3"/>
      <c r="H19" s="3"/>
      <c r="I19" s="3"/>
      <c r="J19" s="24">
        <v>4</v>
      </c>
      <c r="K19" s="3"/>
      <c r="L19" s="12"/>
      <c r="N19" s="29">
        <v>13</v>
      </c>
      <c r="O19" s="28" t="s">
        <v>8</v>
      </c>
      <c r="P19" s="37">
        <v>1.5</v>
      </c>
      <c r="Q19" s="39" t="s">
        <v>17</v>
      </c>
      <c r="R19" s="51"/>
      <c r="S19" s="56">
        <v>71</v>
      </c>
      <c r="T19" s="56">
        <v>29</v>
      </c>
      <c r="U19" s="56">
        <v>38</v>
      </c>
      <c r="V19" s="51" t="s">
        <v>25</v>
      </c>
      <c r="W19" s="41">
        <f t="shared" si="1"/>
        <v>13</v>
      </c>
      <c r="X19" s="41">
        <v>24</v>
      </c>
      <c r="Y19" s="41">
        <v>9</v>
      </c>
      <c r="Z19" s="41">
        <v>12</v>
      </c>
      <c r="AA19" s="41"/>
      <c r="AB19" s="41"/>
      <c r="AC19" s="41"/>
      <c r="AD19" s="41"/>
      <c r="AE19" s="41"/>
      <c r="AF19" s="41"/>
      <c r="AG19" s="41"/>
      <c r="AH19" s="41"/>
    </row>
    <row r="20" spans="2:34" ht="18" thickTop="1" thickBot="1" x14ac:dyDescent="0.35">
      <c r="B20" s="13"/>
      <c r="C20" s="3"/>
      <c r="D20" s="65">
        <f>IF(B5="","",D5)</f>
        <v>1.5</v>
      </c>
      <c r="E20" s="65"/>
      <c r="F20" s="3"/>
      <c r="G20" s="3"/>
      <c r="H20" s="3"/>
      <c r="I20" s="3"/>
      <c r="J20" s="3"/>
      <c r="K20" s="3"/>
      <c r="L20" s="12"/>
      <c r="N20" s="32"/>
      <c r="O20" s="33" t="s">
        <v>9</v>
      </c>
      <c r="P20" s="36"/>
      <c r="Q20" s="35"/>
      <c r="R20" s="51"/>
      <c r="S20" s="56"/>
      <c r="T20" s="56"/>
      <c r="U20" s="56"/>
      <c r="V20" s="5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2:34" ht="17.25" thickTop="1" x14ac:dyDescent="0.3">
      <c r="B21" s="13"/>
      <c r="C21" s="3"/>
      <c r="D21" s="3"/>
      <c r="E21" s="3"/>
      <c r="F21" s="3"/>
      <c r="G21" s="3"/>
      <c r="H21" s="3"/>
      <c r="I21" s="26" t="s">
        <v>31</v>
      </c>
      <c r="J21" s="23">
        <f>IF(J19="","",(J19*H12))</f>
        <v>12</v>
      </c>
      <c r="K21" s="3"/>
      <c r="L21" s="12"/>
      <c r="N21" s="29">
        <v>14</v>
      </c>
      <c r="O21" s="28" t="s">
        <v>10</v>
      </c>
      <c r="P21" s="37">
        <v>1.5</v>
      </c>
      <c r="Q21" s="39" t="s">
        <v>18</v>
      </c>
      <c r="R21" s="51"/>
      <c r="S21" s="56"/>
      <c r="T21" s="56">
        <v>12</v>
      </c>
      <c r="U21" s="56"/>
      <c r="V21" s="51" t="s">
        <v>24</v>
      </c>
      <c r="W21" s="41">
        <f t="shared" si="1"/>
        <v>14</v>
      </c>
      <c r="X21" s="41">
        <v>40</v>
      </c>
      <c r="Y21" s="41">
        <v>10</v>
      </c>
      <c r="Z21" s="41">
        <v>20</v>
      </c>
      <c r="AA21" s="41"/>
      <c r="AB21" s="41"/>
      <c r="AC21" s="41"/>
      <c r="AD21" s="41"/>
      <c r="AE21" s="41"/>
      <c r="AF21" s="41"/>
      <c r="AG21" s="41"/>
      <c r="AH21" s="41"/>
    </row>
    <row r="22" spans="2:34" ht="17.25" thickBot="1" x14ac:dyDescent="0.35">
      <c r="B22" s="13"/>
      <c r="C22" s="3"/>
      <c r="D22" s="3"/>
      <c r="E22" s="3"/>
      <c r="F22" s="3"/>
      <c r="G22" s="3"/>
      <c r="H22" s="3"/>
      <c r="I22" s="26" t="s">
        <v>32</v>
      </c>
      <c r="J22" s="25"/>
      <c r="K22" s="3"/>
      <c r="L22" s="12"/>
      <c r="N22" s="30">
        <v>15</v>
      </c>
      <c r="O22" s="31" t="s">
        <v>10</v>
      </c>
      <c r="P22" s="38">
        <v>1.5</v>
      </c>
      <c r="Q22" s="40" t="s">
        <v>18</v>
      </c>
      <c r="R22" s="51"/>
      <c r="S22" s="56"/>
      <c r="T22" s="56">
        <v>12</v>
      </c>
      <c r="U22" s="56"/>
      <c r="V22" s="51" t="s">
        <v>24</v>
      </c>
      <c r="W22" s="41">
        <f t="shared" si="1"/>
        <v>15</v>
      </c>
      <c r="X22" s="41">
        <v>40</v>
      </c>
      <c r="Y22" s="41">
        <v>10</v>
      </c>
      <c r="Z22" s="41">
        <v>20</v>
      </c>
      <c r="AA22" s="41"/>
      <c r="AB22" s="41"/>
      <c r="AC22" s="41"/>
      <c r="AD22" s="41"/>
      <c r="AE22" s="41"/>
      <c r="AF22" s="41"/>
      <c r="AG22" s="41"/>
      <c r="AH22" s="41"/>
    </row>
    <row r="23" spans="2:34" ht="17.25" thickTop="1" x14ac:dyDescent="0.3">
      <c r="B23" s="13"/>
      <c r="C23" s="3"/>
      <c r="D23" s="3"/>
      <c r="E23" s="3"/>
      <c r="F23" s="3"/>
      <c r="G23" s="3"/>
      <c r="H23" s="3"/>
      <c r="I23" s="3"/>
      <c r="J23" s="49">
        <f>IF(J22="",J21,J22)</f>
        <v>12</v>
      </c>
      <c r="K23" s="3"/>
      <c r="L23" s="12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2:34" ht="17.25" thickBot="1" x14ac:dyDescent="0.35">
      <c r="B24" s="13"/>
      <c r="C24" s="3"/>
      <c r="D24" s="3"/>
      <c r="E24" s="46" t="s">
        <v>61</v>
      </c>
      <c r="F24" s="3"/>
      <c r="G24" s="3"/>
      <c r="H24" s="3"/>
      <c r="I24" s="3"/>
      <c r="J24" s="3"/>
      <c r="K24" s="3"/>
      <c r="L24" s="12"/>
      <c r="O24" s="126" t="s">
        <v>83</v>
      </c>
      <c r="P24" s="126"/>
      <c r="Q24" s="126"/>
      <c r="R24" s="126"/>
      <c r="S24" s="126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2:34" ht="17.25" thickTop="1" x14ac:dyDescent="0.3">
      <c r="B25" s="13"/>
      <c r="C25" s="20" t="s">
        <v>39</v>
      </c>
      <c r="D25" s="57">
        <v>5</v>
      </c>
      <c r="E25" s="44" t="s">
        <v>60</v>
      </c>
      <c r="F25" s="66" t="s">
        <v>49</v>
      </c>
      <c r="G25" s="66"/>
      <c r="H25" s="66"/>
      <c r="I25" s="90">
        <f>IF(B4="","",E27)</f>
        <v>52</v>
      </c>
      <c r="J25" s="91"/>
      <c r="K25" s="3"/>
      <c r="L25" s="12"/>
      <c r="O25" s="104" t="s">
        <v>62</v>
      </c>
      <c r="P25" s="105" t="s">
        <v>65</v>
      </c>
      <c r="Q25" s="105" t="s">
        <v>66</v>
      </c>
      <c r="R25" s="105" t="s">
        <v>67</v>
      </c>
      <c r="S25" s="105" t="s">
        <v>68</v>
      </c>
      <c r="T25" s="74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2:34" ht="17.25" thickBot="1" x14ac:dyDescent="0.35">
      <c r="B26" s="13"/>
      <c r="C26" s="20" t="s">
        <v>59</v>
      </c>
      <c r="D26" s="58" t="s">
        <v>34</v>
      </c>
      <c r="E26" s="47">
        <f>IFERROR((VLOOKUP(D26,AA5:AE8,MATCH(E25,AA5:AE5,0),FALSE)),"")</f>
        <v>55</v>
      </c>
      <c r="F26" s="66" t="s">
        <v>54</v>
      </c>
      <c r="G26" s="66"/>
      <c r="H26" s="66"/>
      <c r="I26" s="90">
        <f>IF(B5="","",IF(D25="",I25,E26))</f>
        <v>55</v>
      </c>
      <c r="J26" s="91"/>
      <c r="K26" s="3"/>
      <c r="L26" s="12"/>
      <c r="O26" s="106" t="s">
        <v>69</v>
      </c>
      <c r="P26" s="106" t="s">
        <v>70</v>
      </c>
      <c r="Q26" s="106" t="s">
        <v>71</v>
      </c>
      <c r="R26" s="106" t="s">
        <v>70</v>
      </c>
      <c r="S26" s="106" t="s">
        <v>72</v>
      </c>
      <c r="T26" s="74"/>
    </row>
    <row r="27" spans="2:34" ht="17.25" thickTop="1" x14ac:dyDescent="0.3">
      <c r="B27" s="13"/>
      <c r="C27" s="3"/>
      <c r="D27" s="3"/>
      <c r="E27" s="47">
        <f>IFERROR((VLOOKUP(D26,AA9:AB12,MATCH(E25,AA9:AB9,0),FALSE)),"")</f>
        <v>52</v>
      </c>
      <c r="F27" s="66" t="s">
        <v>50</v>
      </c>
      <c r="G27" s="66"/>
      <c r="H27" s="66"/>
      <c r="I27" s="90">
        <f>IF(D26="","",(IF(I33="https://www.youtube.com/c/HebMerma",(ROUNDUP((I26*J23),0)),"")))</f>
        <v>660</v>
      </c>
      <c r="J27" s="91"/>
      <c r="K27" s="3"/>
      <c r="L27" s="12"/>
      <c r="O27" s="107">
        <v>1.1000000000000001</v>
      </c>
      <c r="P27" s="112">
        <v>22</v>
      </c>
      <c r="Q27" s="113">
        <v>0.68</v>
      </c>
      <c r="R27" s="114"/>
      <c r="S27" s="115">
        <v>270</v>
      </c>
    </row>
    <row r="28" spans="2:34" x14ac:dyDescent="0.3">
      <c r="B28" s="13"/>
      <c r="C28" s="3"/>
      <c r="D28" s="3"/>
      <c r="E28" s="47">
        <f>IFERROR((VLOOKUP(D26,AA9:AC12,MATCH(E24,AA9:AC9,0),FALSE)),"")</f>
        <v>12</v>
      </c>
      <c r="F28" s="66" t="s">
        <v>52</v>
      </c>
      <c r="G28" s="66"/>
      <c r="H28" s="66"/>
      <c r="I28" s="92">
        <f>IF(I27="","",(1*1*(E28/100)))</f>
        <v>0.12</v>
      </c>
      <c r="J28" s="93"/>
      <c r="K28" s="3"/>
      <c r="L28" s="12"/>
      <c r="O28" s="110">
        <v>1.2</v>
      </c>
      <c r="P28" s="116">
        <v>15</v>
      </c>
      <c r="Q28" s="117">
        <v>0.89</v>
      </c>
      <c r="R28" s="118"/>
      <c r="S28" s="119">
        <v>265</v>
      </c>
    </row>
    <row r="29" spans="2:34" x14ac:dyDescent="0.3">
      <c r="B29" s="13"/>
      <c r="C29" s="75" t="s">
        <v>78</v>
      </c>
      <c r="D29" s="98">
        <f>IF(B7="","",(I32*C7)+((I32*C7)/100)*D25)</f>
        <v>2.7916358400000005</v>
      </c>
      <c r="E29" s="3"/>
      <c r="F29" s="66" t="s">
        <v>51</v>
      </c>
      <c r="G29" s="66"/>
      <c r="H29" s="66"/>
      <c r="I29" s="92">
        <f>IF(I28="","",(G6/100)*(H6/100)*(I6/100))</f>
        <v>1.7279999999999999E-3</v>
      </c>
      <c r="J29" s="93"/>
      <c r="K29" s="3"/>
      <c r="L29" s="12"/>
      <c r="O29" s="108">
        <v>1.3</v>
      </c>
      <c r="P29" s="76">
        <v>10.5</v>
      </c>
      <c r="Q29" s="120">
        <v>0.97</v>
      </c>
      <c r="R29" s="121"/>
      <c r="S29" s="122">
        <v>260</v>
      </c>
    </row>
    <row r="30" spans="2:34" x14ac:dyDescent="0.3">
      <c r="B30" s="13"/>
      <c r="C30" s="75" t="s">
        <v>79</v>
      </c>
      <c r="D30" s="97">
        <f>IF(D29="","",(I32*D7)+((I32*D7)/100)*D25)</f>
        <v>0.42672147840000008</v>
      </c>
      <c r="E30" s="3"/>
      <c r="F30" s="66" t="s">
        <v>53</v>
      </c>
      <c r="G30" s="66"/>
      <c r="H30" s="66"/>
      <c r="I30" s="94">
        <f>IFERROR((I28-(I25*I29)),"")</f>
        <v>3.0144000000000004E-2</v>
      </c>
      <c r="J30" s="95"/>
      <c r="K30" s="101"/>
      <c r="L30" s="12"/>
      <c r="O30" s="110">
        <v>1.4</v>
      </c>
      <c r="P30" s="116">
        <v>8.5</v>
      </c>
      <c r="Q30" s="117">
        <v>1.04</v>
      </c>
      <c r="R30" s="118"/>
      <c r="S30" s="119">
        <v>260</v>
      </c>
    </row>
    <row r="31" spans="2:34" x14ac:dyDescent="0.3">
      <c r="B31" s="13"/>
      <c r="C31" s="75" t="s">
        <v>80</v>
      </c>
      <c r="D31" s="98">
        <f>IF(D30="","",(I32*E7)+((I32*E7)/100)*D25)</f>
        <v>0</v>
      </c>
      <c r="E31" s="3"/>
      <c r="F31" s="66" t="s">
        <v>55</v>
      </c>
      <c r="G31" s="66"/>
      <c r="H31" s="66"/>
      <c r="I31" s="94">
        <f>IF(I29="","",I30+((I30/100)*D25))</f>
        <v>3.1651200000000004E-2</v>
      </c>
      <c r="J31" s="95"/>
      <c r="K31" s="99"/>
      <c r="L31" s="12"/>
      <c r="O31" s="108">
        <v>1.5</v>
      </c>
      <c r="P31" s="76">
        <v>7</v>
      </c>
      <c r="Q31" s="120">
        <v>1.07</v>
      </c>
      <c r="R31" s="121"/>
      <c r="S31" s="122">
        <v>255</v>
      </c>
    </row>
    <row r="32" spans="2:34" x14ac:dyDescent="0.3">
      <c r="B32" s="13"/>
      <c r="C32" s="75" t="s">
        <v>81</v>
      </c>
      <c r="D32" s="96">
        <f>IF(D31="","",I32*F7)</f>
        <v>96.852672000000013</v>
      </c>
      <c r="E32" s="3"/>
      <c r="F32" s="66" t="s">
        <v>56</v>
      </c>
      <c r="G32" s="66"/>
      <c r="H32" s="66"/>
      <c r="I32" s="92">
        <f>IFERROR((J23*I31),"")</f>
        <v>0.37981440000000005</v>
      </c>
      <c r="J32" s="93"/>
      <c r="K32" s="101"/>
      <c r="L32" s="12"/>
      <c r="O32" s="110">
        <v>1.6</v>
      </c>
      <c r="P32" s="116">
        <v>6</v>
      </c>
      <c r="Q32" s="117">
        <v>1.1000000000000001</v>
      </c>
      <c r="R32" s="118"/>
      <c r="S32" s="119">
        <v>255</v>
      </c>
    </row>
    <row r="33" spans="2:19" ht="17.25" thickBot="1" x14ac:dyDescent="0.35">
      <c r="B33" s="15"/>
      <c r="C33" s="16"/>
      <c r="D33" s="16"/>
      <c r="E33" s="16"/>
      <c r="F33" s="16"/>
      <c r="G33" s="16"/>
      <c r="H33" s="158" t="s">
        <v>88</v>
      </c>
      <c r="I33" s="159" t="s">
        <v>87</v>
      </c>
      <c r="J33" s="16"/>
      <c r="K33" s="100"/>
      <c r="L33" s="17"/>
      <c r="O33" s="108">
        <v>1.7</v>
      </c>
      <c r="P33" s="76">
        <v>5.5</v>
      </c>
      <c r="Q33" s="120">
        <v>1.1200000000000001</v>
      </c>
      <c r="R33" s="121"/>
      <c r="S33" s="122">
        <v>255</v>
      </c>
    </row>
    <row r="34" spans="2:19" ht="18" thickTop="1" thickBot="1" x14ac:dyDescent="0.35">
      <c r="B34" s="69" t="s">
        <v>43</v>
      </c>
      <c r="C34" s="69"/>
      <c r="D34" s="69"/>
      <c r="E34" s="69"/>
      <c r="F34" s="69"/>
      <c r="G34" s="69"/>
      <c r="H34" s="69"/>
      <c r="I34" s="131" t="s">
        <v>62</v>
      </c>
      <c r="J34" s="139"/>
      <c r="K34" s="139"/>
      <c r="L34" s="140"/>
      <c r="O34" s="110">
        <v>1.8</v>
      </c>
      <c r="P34" s="116">
        <v>4.7</v>
      </c>
      <c r="Q34" s="117">
        <v>1.1399999999999999</v>
      </c>
      <c r="R34" s="118"/>
      <c r="S34" s="119">
        <v>255</v>
      </c>
    </row>
    <row r="35" spans="2:19" ht="18" thickTop="1" thickBot="1" x14ac:dyDescent="0.35">
      <c r="B35" s="70" t="s">
        <v>40</v>
      </c>
      <c r="C35" s="70"/>
      <c r="D35" s="70"/>
      <c r="E35" s="70" t="s">
        <v>44</v>
      </c>
      <c r="F35" s="70"/>
      <c r="G35" s="70" t="s">
        <v>47</v>
      </c>
      <c r="H35" s="131"/>
      <c r="I35" s="133" t="s">
        <v>65</v>
      </c>
      <c r="J35" s="134" t="s">
        <v>66</v>
      </c>
      <c r="K35" s="133" t="s">
        <v>67</v>
      </c>
      <c r="L35" s="135" t="s">
        <v>68</v>
      </c>
      <c r="O35" s="109"/>
      <c r="P35" s="76"/>
      <c r="Q35" s="76"/>
      <c r="R35" s="76"/>
      <c r="S35" s="122"/>
    </row>
    <row r="36" spans="2:19" ht="18" thickTop="1" thickBot="1" x14ac:dyDescent="0.35">
      <c r="B36" s="21" t="s">
        <v>41</v>
      </c>
      <c r="C36" s="21" t="s">
        <v>42</v>
      </c>
      <c r="D36" s="21" t="s">
        <v>0</v>
      </c>
      <c r="E36" s="21" t="s">
        <v>46</v>
      </c>
      <c r="F36" s="21" t="s">
        <v>45</v>
      </c>
      <c r="G36" s="21" t="s">
        <v>2</v>
      </c>
      <c r="H36" s="132" t="s">
        <v>48</v>
      </c>
      <c r="I36" s="136" t="s">
        <v>84</v>
      </c>
      <c r="J36" s="137" t="s">
        <v>71</v>
      </c>
      <c r="K36" s="136" t="s">
        <v>84</v>
      </c>
      <c r="L36" s="138" t="s">
        <v>72</v>
      </c>
      <c r="O36" s="110" t="s">
        <v>73</v>
      </c>
      <c r="P36" s="116">
        <v>7.7</v>
      </c>
      <c r="Q36" s="117">
        <v>0.87</v>
      </c>
      <c r="R36" s="116">
        <v>4.8</v>
      </c>
      <c r="S36" s="119">
        <v>309</v>
      </c>
    </row>
    <row r="37" spans="2:19" ht="18" thickTop="1" thickBot="1" x14ac:dyDescent="0.35">
      <c r="B37" s="59">
        <v>24</v>
      </c>
      <c r="C37" s="59">
        <v>11</v>
      </c>
      <c r="D37" s="59">
        <v>9</v>
      </c>
      <c r="E37" s="60">
        <v>1.2</v>
      </c>
      <c r="F37" s="62">
        <v>12</v>
      </c>
      <c r="G37" s="61">
        <v>3</v>
      </c>
      <c r="H37" s="61"/>
      <c r="I37" s="141">
        <v>300</v>
      </c>
      <c r="J37" s="141">
        <v>1.1399999999999999</v>
      </c>
      <c r="K37" s="141">
        <v>100</v>
      </c>
      <c r="L37" s="141">
        <v>250</v>
      </c>
      <c r="O37" s="108" t="s">
        <v>74</v>
      </c>
      <c r="P37" s="76">
        <v>6.6</v>
      </c>
      <c r="Q37" s="120">
        <v>0.94</v>
      </c>
      <c r="R37" s="76">
        <v>4.0999999999999996</v>
      </c>
      <c r="S37" s="122">
        <v>297</v>
      </c>
    </row>
    <row r="38" spans="2:19" ht="17.25" thickTop="1" x14ac:dyDescent="0.3">
      <c r="B38" s="6"/>
      <c r="C38" s="4"/>
      <c r="D38" s="4"/>
      <c r="E38" s="4"/>
      <c r="F38" s="4"/>
      <c r="G38" s="4"/>
      <c r="H38" s="4"/>
      <c r="I38" s="4"/>
      <c r="J38" s="4"/>
      <c r="K38" s="4"/>
      <c r="L38" s="5"/>
      <c r="O38" s="110" t="s">
        <v>75</v>
      </c>
      <c r="P38" s="116">
        <v>5.7</v>
      </c>
      <c r="Q38" s="117">
        <v>0.96</v>
      </c>
      <c r="R38" s="116">
        <v>3.6</v>
      </c>
      <c r="S38" s="119">
        <v>300</v>
      </c>
    </row>
    <row r="39" spans="2:19" x14ac:dyDescent="0.3">
      <c r="B39" s="67" t="s">
        <v>49</v>
      </c>
      <c r="C39" s="68"/>
      <c r="D39" s="68"/>
      <c r="E39" s="146">
        <f>IFERROR((ROUND(1/(((B37/100)+(E37/100))*((D37/100)+(E37/100))),0)),"")</f>
        <v>39</v>
      </c>
      <c r="F39" s="4"/>
      <c r="G39" s="22" t="s">
        <v>57</v>
      </c>
      <c r="H39" s="4"/>
      <c r="I39" s="4"/>
      <c r="J39" s="4"/>
      <c r="K39" s="4"/>
      <c r="L39" s="5"/>
      <c r="O39" s="108" t="s">
        <v>76</v>
      </c>
      <c r="P39" s="76">
        <v>8.6999999999999993</v>
      </c>
      <c r="Q39" s="120">
        <v>0.74</v>
      </c>
      <c r="R39" s="76">
        <v>8.1999999999999993</v>
      </c>
      <c r="S39" s="122">
        <v>332</v>
      </c>
    </row>
    <row r="40" spans="2:19" ht="17.25" thickBot="1" x14ac:dyDescent="0.35">
      <c r="B40" s="67" t="s">
        <v>54</v>
      </c>
      <c r="C40" s="68"/>
      <c r="D40" s="68"/>
      <c r="E40" s="146">
        <f>IFERROR((ROUNDUP((E39+(E39*(G37/100))),0)),"")</f>
        <v>41</v>
      </c>
      <c r="F40" s="4"/>
      <c r="G40" s="4"/>
      <c r="H40" s="4"/>
      <c r="I40" s="4"/>
      <c r="J40" s="4"/>
      <c r="K40" s="4"/>
      <c r="L40" s="5"/>
      <c r="O40" s="111" t="s">
        <v>77</v>
      </c>
      <c r="P40" s="123">
        <v>3.2</v>
      </c>
      <c r="Q40" s="124">
        <v>1.0900000000000001</v>
      </c>
      <c r="R40" s="123">
        <v>6</v>
      </c>
      <c r="S40" s="125">
        <v>225</v>
      </c>
    </row>
    <row r="41" spans="2:19" ht="17.25" thickTop="1" x14ac:dyDescent="0.3">
      <c r="B41" s="67" t="s">
        <v>50</v>
      </c>
      <c r="C41" s="68"/>
      <c r="D41" s="68"/>
      <c r="E41" s="146">
        <f>IF(E40="","",(IF(G50="https://www.youtube.com/c/HebMerma",ROUNDUP((E40*F37),0),"")))</f>
        <v>492</v>
      </c>
      <c r="F41" s="4"/>
      <c r="G41" s="4"/>
      <c r="H41" s="4"/>
      <c r="I41" s="4"/>
      <c r="J41" s="4"/>
      <c r="K41" s="4"/>
      <c r="L41" s="5"/>
    </row>
    <row r="42" spans="2:19" x14ac:dyDescent="0.3">
      <c r="B42" s="67" t="s">
        <v>52</v>
      </c>
      <c r="C42" s="68"/>
      <c r="D42" s="68"/>
      <c r="E42" s="145">
        <f>IF(E41="","",(1*1*(C37/100)))</f>
        <v>0.11</v>
      </c>
      <c r="F42" s="4"/>
      <c r="G42" s="4"/>
      <c r="H42" s="4"/>
      <c r="I42" s="4"/>
      <c r="J42" s="4"/>
      <c r="K42" s="4"/>
      <c r="L42" s="5"/>
    </row>
    <row r="43" spans="2:19" x14ac:dyDescent="0.3">
      <c r="B43" s="67" t="s">
        <v>51</v>
      </c>
      <c r="C43" s="68"/>
      <c r="D43" s="68"/>
      <c r="E43" s="145">
        <f>IF(E42="","",(B37/100)*(C37/100)*(D37/100))</f>
        <v>2.3760000000000001E-3</v>
      </c>
      <c r="F43" s="4"/>
      <c r="G43" s="4"/>
      <c r="H43" s="4"/>
      <c r="I43" s="4"/>
      <c r="J43" s="4"/>
      <c r="K43" s="4"/>
      <c r="L43" s="5"/>
    </row>
    <row r="44" spans="2:19" x14ac:dyDescent="0.3">
      <c r="B44" s="67" t="s">
        <v>53</v>
      </c>
      <c r="C44" s="68"/>
      <c r="D44" s="68"/>
      <c r="E44" s="147">
        <f>IFERROR((E42-(E39*E43)),"")</f>
        <v>1.7336000000000004E-2</v>
      </c>
      <c r="F44" s="4"/>
      <c r="G44" s="22" t="s">
        <v>58</v>
      </c>
      <c r="H44" s="4"/>
      <c r="I44" s="4"/>
      <c r="J44" s="4"/>
      <c r="K44" s="4"/>
      <c r="L44" s="5"/>
    </row>
    <row r="45" spans="2:19" x14ac:dyDescent="0.3">
      <c r="B45" s="67" t="s">
        <v>55</v>
      </c>
      <c r="C45" s="68"/>
      <c r="D45" s="68"/>
      <c r="E45" s="147">
        <f>IFERROR((E44+((E44*H37)/100)),"")</f>
        <v>1.7336000000000004E-2</v>
      </c>
      <c r="F45" s="4"/>
      <c r="G45" s="4"/>
      <c r="H45" s="4"/>
      <c r="I45" s="4"/>
      <c r="J45" s="4"/>
      <c r="K45" s="4"/>
      <c r="L45" s="5"/>
    </row>
    <row r="46" spans="2:19" x14ac:dyDescent="0.3">
      <c r="B46" s="67" t="s">
        <v>56</v>
      </c>
      <c r="C46" s="68"/>
      <c r="D46" s="68"/>
      <c r="E46" s="145">
        <f>IFERROR((F37*E45),"")</f>
        <v>0.20803200000000005</v>
      </c>
      <c r="F46" s="4"/>
      <c r="G46" s="4"/>
      <c r="H46" s="4"/>
      <c r="I46" s="4"/>
      <c r="J46" s="4"/>
      <c r="K46" s="4"/>
      <c r="L46" s="5"/>
    </row>
    <row r="47" spans="2:19" x14ac:dyDescent="0.3">
      <c r="B47" s="63"/>
      <c r="C47" s="64"/>
      <c r="D47" s="64" t="s">
        <v>78</v>
      </c>
      <c r="E47" s="148">
        <f>IF(E46="","",(I37*E46)+((E46*I37)/100)*H37)</f>
        <v>62.409600000000012</v>
      </c>
      <c r="F47" s="151">
        <f>IFERROR((IF(I47="","",(E47/I47))),"")</f>
        <v>1.4684611764705886</v>
      </c>
      <c r="G47" s="4"/>
      <c r="H47" s="149" t="s">
        <v>85</v>
      </c>
      <c r="I47" s="150">
        <v>42.5</v>
      </c>
      <c r="J47" s="4"/>
      <c r="K47" s="4"/>
      <c r="L47" s="5"/>
    </row>
    <row r="48" spans="2:19" x14ac:dyDescent="0.3">
      <c r="B48" s="63"/>
      <c r="C48" s="64"/>
      <c r="D48" s="64" t="s">
        <v>79</v>
      </c>
      <c r="E48" s="145">
        <f>IF(E47="","",(E46*J37)+((E46*J37)/100)*H37)</f>
        <v>0.23715648000000003</v>
      </c>
      <c r="F48" s="4"/>
      <c r="G48" s="4"/>
      <c r="H48" s="149" t="s">
        <v>86</v>
      </c>
      <c r="I48" s="150">
        <v>25</v>
      </c>
      <c r="J48" s="4"/>
      <c r="K48" s="4"/>
      <c r="L48" s="5"/>
    </row>
    <row r="49" spans="2:12" x14ac:dyDescent="0.3">
      <c r="B49" s="63"/>
      <c r="C49" s="64"/>
      <c r="D49" s="64" t="s">
        <v>80</v>
      </c>
      <c r="E49" s="148">
        <f>IF(E48="","",(E46*K37)+((E46*K37)/100)*H37)</f>
        <v>20.803200000000004</v>
      </c>
      <c r="F49" s="151">
        <f>IFERROR((IF(I48="","",(E49/I48))),"")</f>
        <v>0.8321280000000002</v>
      </c>
      <c r="G49" s="4"/>
      <c r="H49" s="4"/>
      <c r="I49" s="4"/>
      <c r="J49" s="4"/>
      <c r="K49" s="4"/>
      <c r="L49" s="5"/>
    </row>
    <row r="50" spans="2:12" x14ac:dyDescent="0.3">
      <c r="B50" s="155"/>
      <c r="C50" s="152"/>
      <c r="D50" s="153" t="s">
        <v>81</v>
      </c>
      <c r="E50" s="157">
        <f>IF(E49="","",E46*L37)</f>
        <v>52.00800000000001</v>
      </c>
      <c r="F50" s="4"/>
      <c r="G50" s="160" t="s">
        <v>87</v>
      </c>
      <c r="H50" s="4"/>
      <c r="I50" s="4"/>
      <c r="J50" s="4"/>
      <c r="K50" s="4"/>
      <c r="L50" s="5"/>
    </row>
    <row r="51" spans="2:12" x14ac:dyDescent="0.3">
      <c r="B51" s="155"/>
      <c r="C51" s="152"/>
      <c r="D51" s="153"/>
      <c r="E51" s="154"/>
      <c r="F51" s="4"/>
      <c r="G51" s="4"/>
      <c r="H51" s="4"/>
      <c r="I51" s="4"/>
      <c r="J51" s="4"/>
      <c r="K51" s="4"/>
      <c r="L51" s="5"/>
    </row>
    <row r="52" spans="2:12" ht="17.25" thickBot="1" x14ac:dyDescent="0.35">
      <c r="B52" s="143"/>
      <c r="C52" s="144"/>
      <c r="D52" s="142"/>
      <c r="E52" s="156"/>
      <c r="F52" s="7"/>
      <c r="G52" s="7"/>
      <c r="H52" s="7"/>
      <c r="I52" s="7"/>
      <c r="J52" s="7"/>
      <c r="K52" s="7"/>
      <c r="L52" s="8"/>
    </row>
    <row r="53" spans="2:12" ht="17.25" thickTop="1" x14ac:dyDescent="0.3"/>
  </sheetData>
  <sheetProtection algorithmName="SHA-512" hashValue="OAu6AE/XTFbYpYt43lhMXtsHzvg+rZ0t5zeaZTJaEJyGzOsLBlmvYZQLGigeV8XB1iqOknF+mcLfoEKdWC2S2Q==" saltValue="GC0/h9s7t8B2p/ny5H7TMQ==" spinCount="100000" sheet="1" objects="1" scenarios="1"/>
  <mergeCells count="33">
    <mergeCell ref="I34:L34"/>
    <mergeCell ref="I29:J29"/>
    <mergeCell ref="I30:J30"/>
    <mergeCell ref="I31:J31"/>
    <mergeCell ref="I32:J32"/>
    <mergeCell ref="N3:Q3"/>
    <mergeCell ref="O24:S24"/>
    <mergeCell ref="B2:L2"/>
    <mergeCell ref="F25:H25"/>
    <mergeCell ref="F27:H27"/>
    <mergeCell ref="F28:H28"/>
    <mergeCell ref="B40:D40"/>
    <mergeCell ref="B35:D35"/>
    <mergeCell ref="E35:F35"/>
    <mergeCell ref="G35:H35"/>
    <mergeCell ref="F29:H29"/>
    <mergeCell ref="F30:H30"/>
    <mergeCell ref="F31:H31"/>
    <mergeCell ref="F32:H32"/>
    <mergeCell ref="I25:J25"/>
    <mergeCell ref="I26:J26"/>
    <mergeCell ref="I27:J27"/>
    <mergeCell ref="I28:J28"/>
    <mergeCell ref="D20:E20"/>
    <mergeCell ref="F26:H26"/>
    <mergeCell ref="B39:D39"/>
    <mergeCell ref="B45:D45"/>
    <mergeCell ref="B46:D46"/>
    <mergeCell ref="B34:H34"/>
    <mergeCell ref="B41:D41"/>
    <mergeCell ref="B42:D42"/>
    <mergeCell ref="B43:D43"/>
    <mergeCell ref="B44:D44"/>
  </mergeCells>
  <conditionalFormatting sqref="E39:E46">
    <cfRule type="colorScale" priority="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26:I32">
    <cfRule type="colorScale" priority="5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25">
    <cfRule type="colorScale" priority="4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25:J32">
    <cfRule type="colorScale" priority="3">
      <colorScale>
        <cfvo type="num" val="0"/>
        <cfvo type="num" val="0"/>
        <color theme="9" tint="0.39997558519241921"/>
        <color theme="9" tint="0.39997558519241921"/>
      </colorScale>
    </cfRule>
  </conditionalFormatting>
  <conditionalFormatting sqref="D29:D32">
    <cfRule type="colorScale" priority="2">
      <colorScale>
        <cfvo type="num" val="0"/>
        <cfvo type="max"/>
        <color theme="4" tint="0.39997558519241921"/>
        <color theme="4" tint="0.39997558519241921"/>
      </colorScale>
    </cfRule>
  </conditionalFormatting>
  <conditionalFormatting sqref="E47:E52">
    <cfRule type="colorScale" priority="1">
      <colorScale>
        <cfvo type="num" val="0"/>
        <cfvo type="num" val="0"/>
        <color theme="7" tint="0.39997558519241921"/>
        <color theme="7" tint="0.39997558519241921"/>
      </colorScale>
    </cfRule>
  </conditionalFormatting>
  <dataValidations count="3">
    <dataValidation type="list" allowBlank="1" showInputMessage="1" showErrorMessage="1" sqref="B5">
      <formula1>$N$5:$N$22</formula1>
    </dataValidation>
    <dataValidation type="list" allowBlank="1" showInputMessage="1" showErrorMessage="1" sqref="D26">
      <formula1>$AA$6:$AA$8</formula1>
    </dataValidation>
    <dataValidation type="list" allowBlank="1" showInputMessage="1" showErrorMessage="1" sqref="B7">
      <formula1>$O$27:$O$40</formula1>
    </dataValidation>
  </dataValidations>
  <hyperlinks>
    <hyperlink ref="G50" r:id="rId1"/>
    <hyperlink ref="I33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 DE MATERIALES EN MURO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2019-03-29T23:08:18Z</dcterms:created>
  <dcterms:modified xsi:type="dcterms:W3CDTF">2020-06-26T04:50:32Z</dcterms:modified>
</cp:coreProperties>
</file>